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A210EACF-D9B2-49B0-A002-E53241633489}" xr6:coauthVersionLast="36" xr6:coauthVersionMax="36" xr10:uidLastSave="{00000000-0000-0000-0000-000000000000}"/>
  <bookViews>
    <workbookView xWindow="28680" yWindow="-120" windowWidth="29040" windowHeight="15720" xr2:uid="{00000000-000D-0000-FFFF-FFFF00000000}"/>
  </bookViews>
  <sheets>
    <sheet name="Male" sheetId="53408" r:id="rId1"/>
    <sheet name="Female" sheetId="53409" r:id="rId2"/>
  </sheets>
  <definedNames>
    <definedName name="_xlnm.Print_Area" localSheetId="1">Female!$A$19:$L$91</definedName>
    <definedName name="_xlnm.Print_Area" localSheetId="0">Male!$A$19:$L$91</definedName>
    <definedName name="solver_adj" localSheetId="1" hidden="1">Female!$F$63:$F$66</definedName>
    <definedName name="solver_adj" localSheetId="0" hidden="1">Male!$F$63:$F$66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100</definedName>
    <definedName name="solver_itr" localSheetId="0" hidden="1">100</definedName>
    <definedName name="solver_lhs1" localSheetId="1" hidden="1">Female!$K$67</definedName>
    <definedName name="solver_lhs1" localSheetId="0" hidden="1">Male!$K$67</definedName>
    <definedName name="solver_lin" localSheetId="1" hidden="1">2</definedName>
    <definedName name="solver_lin" localSheetId="0" hidden="1">2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2</definedName>
    <definedName name="solver_neg" localSheetId="0" hidden="1">2</definedName>
    <definedName name="solver_nod" localSheetId="1" hidden="1">2147483647</definedName>
    <definedName name="solver_nod" localSheetId="0" hidden="1">2147483647</definedName>
    <definedName name="solver_num" localSheetId="1" hidden="1">0</definedName>
    <definedName name="solver_num" localSheetId="0" hidden="1">0</definedName>
    <definedName name="solver_nwt" localSheetId="1" hidden="1">1</definedName>
    <definedName name="solver_nwt" localSheetId="0" hidden="1">1</definedName>
    <definedName name="solver_opt" localSheetId="1" hidden="1">Female!$K$68</definedName>
    <definedName name="solver_opt" localSheetId="0" hidden="1">Male!$K$68</definedName>
    <definedName name="solver_pre" localSheetId="1" hidden="1">0.000001</definedName>
    <definedName name="solver_pre" localSheetId="0" hidden="1">0.000001</definedName>
    <definedName name="solver_rbv" localSheetId="1" hidden="1">1</definedName>
    <definedName name="solver_rbv" localSheetId="0" hidden="1">1</definedName>
    <definedName name="solver_rel1" localSheetId="1" hidden="1">3</definedName>
    <definedName name="solver_rel1" localSheetId="0" hidden="1">3</definedName>
    <definedName name="solver_rhs1" localSheetId="1" hidden="1">0</definedName>
    <definedName name="solver_rhs1" localSheetId="0" hidden="1">0</definedName>
    <definedName name="solver_rlx" localSheetId="1" hidden="1">1</definedName>
    <definedName name="solver_rlx" localSheetId="0" hidden="1">1</definedName>
    <definedName name="solver_rsd" localSheetId="1" hidden="1">0</definedName>
    <definedName name="solver_rsd" localSheetId="0" hidden="1">0</definedName>
    <definedName name="solver_scl" localSheetId="1" hidden="1">2</definedName>
    <definedName name="solver_scl" localSheetId="0" hidden="1">2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100</definedName>
    <definedName name="solver_tim" localSheetId="0" hidden="1">100</definedName>
    <definedName name="solver_tol" localSheetId="1" hidden="1">5</definedName>
    <definedName name="solver_tol" localSheetId="0" hidden="1">5</definedName>
    <definedName name="solver_typ" localSheetId="1" hidden="1">2</definedName>
    <definedName name="solver_typ" localSheetId="0" hidden="1">2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7" i="53409" l="1"/>
  <c r="B96" i="53409"/>
  <c r="B68" i="53409"/>
  <c r="K65" i="53409"/>
  <c r="B63" i="53409"/>
  <c r="B72" i="53409" s="1"/>
  <c r="K62" i="53409"/>
  <c r="B61" i="53409"/>
  <c r="H58" i="53409"/>
  <c r="F58" i="53409"/>
  <c r="C58" i="53409"/>
  <c r="H57" i="53409"/>
  <c r="F57" i="53409"/>
  <c r="C57" i="53409"/>
  <c r="H56" i="53409"/>
  <c r="F56" i="53409"/>
  <c r="C56" i="53409"/>
  <c r="H55" i="53409"/>
  <c r="F55" i="53409"/>
  <c r="C55" i="53409"/>
  <c r="H54" i="53409"/>
  <c r="F54" i="53409"/>
  <c r="C54" i="53409"/>
  <c r="H53" i="53409"/>
  <c r="F53" i="53409"/>
  <c r="C53" i="53409"/>
  <c r="H52" i="53409"/>
  <c r="F52" i="53409"/>
  <c r="G52" i="53409" s="1"/>
  <c r="C52" i="53409"/>
  <c r="H46" i="53409"/>
  <c r="F46" i="53409"/>
  <c r="C46" i="53409"/>
  <c r="J46" i="53409" s="1"/>
  <c r="H45" i="53409"/>
  <c r="F45" i="53409"/>
  <c r="C45" i="53409"/>
  <c r="J45" i="53409" s="1"/>
  <c r="H44" i="53409"/>
  <c r="F44" i="53409"/>
  <c r="C44" i="53409"/>
  <c r="J44" i="53409" s="1"/>
  <c r="H43" i="53409"/>
  <c r="F43" i="53409"/>
  <c r="G43" i="53409" s="1"/>
  <c r="C43" i="53409"/>
  <c r="J43" i="53409" s="1"/>
  <c r="H42" i="53409"/>
  <c r="F42" i="53409"/>
  <c r="C42" i="53409"/>
  <c r="J42" i="53409" s="1"/>
  <c r="H41" i="53409"/>
  <c r="F41" i="53409"/>
  <c r="C41" i="53409"/>
  <c r="J41" i="53409" s="1"/>
  <c r="J40" i="53409"/>
  <c r="H40" i="53409"/>
  <c r="F40" i="53409"/>
  <c r="B40" i="53409"/>
  <c r="B52" i="53409" s="1"/>
  <c r="A40" i="53409"/>
  <c r="A52" i="53409" s="1"/>
  <c r="I33" i="53409"/>
  <c r="G33" i="53409"/>
  <c r="I32" i="53409"/>
  <c r="G32" i="53409"/>
  <c r="G34" i="53409" s="1"/>
  <c r="E31" i="53409"/>
  <c r="E25" i="53409"/>
  <c r="B24" i="53409"/>
  <c r="G53" i="53409" l="1"/>
  <c r="G57" i="53409"/>
  <c r="G58" i="53409"/>
  <c r="G55" i="53409"/>
  <c r="I52" i="53409"/>
  <c r="G54" i="53409"/>
  <c r="K43" i="53409"/>
  <c r="I46" i="53409"/>
  <c r="J54" i="53409"/>
  <c r="K54" i="53409" s="1"/>
  <c r="L54" i="53409" s="1"/>
  <c r="C96" i="53409"/>
  <c r="D96" i="53409" s="1"/>
  <c r="J58" i="53409"/>
  <c r="K58" i="53409" s="1"/>
  <c r="L58" i="53409" s="1"/>
  <c r="J55" i="53409"/>
  <c r="K55" i="53409" s="1"/>
  <c r="L55" i="53409" s="1"/>
  <c r="J52" i="53409"/>
  <c r="K52" i="53409" s="1"/>
  <c r="J56" i="53409"/>
  <c r="K56" i="53409" s="1"/>
  <c r="I43" i="53409"/>
  <c r="I56" i="53409"/>
  <c r="J53" i="53409"/>
  <c r="K53" i="53409" s="1"/>
  <c r="L53" i="53409" s="1"/>
  <c r="J57" i="53409"/>
  <c r="K57" i="53409" s="1"/>
  <c r="L57" i="53409" s="1"/>
  <c r="C97" i="53409"/>
  <c r="D97" i="53409" s="1"/>
  <c r="A98" i="53409"/>
  <c r="C98" i="53409" s="1"/>
  <c r="I42" i="53409"/>
  <c r="G56" i="53409"/>
  <c r="I45" i="53409"/>
  <c r="I53" i="53409"/>
  <c r="B97" i="53409"/>
  <c r="I57" i="53409"/>
  <c r="I54" i="53409"/>
  <c r="G45" i="53409"/>
  <c r="K45" i="53409" s="1"/>
  <c r="I58" i="53409"/>
  <c r="I55" i="53409"/>
  <c r="G44" i="53409"/>
  <c r="K44" i="53409" s="1"/>
  <c r="I41" i="53409"/>
  <c r="B64" i="53409"/>
  <c r="C64" i="53409" s="1"/>
  <c r="G31" i="53409"/>
  <c r="G35" i="53409"/>
  <c r="G42" i="53409"/>
  <c r="K42" i="53409" s="1"/>
  <c r="G40" i="53409"/>
  <c r="I44" i="53409"/>
  <c r="I40" i="53409"/>
  <c r="G41" i="53409"/>
  <c r="K41" i="53409" s="1"/>
  <c r="G46" i="53409"/>
  <c r="K46" i="53409" s="1"/>
  <c r="K63" i="53409"/>
  <c r="M62" i="53409"/>
  <c r="F67" i="53409"/>
  <c r="E31" i="53408"/>
  <c r="G33" i="53408"/>
  <c r="G32" i="53408"/>
  <c r="I33" i="53408"/>
  <c r="I32" i="53408"/>
  <c r="B63" i="53408"/>
  <c r="B72" i="53408" s="1"/>
  <c r="J40" i="53408"/>
  <c r="H40" i="53408"/>
  <c r="H52" i="53408"/>
  <c r="F53" i="53408"/>
  <c r="F54" i="53408"/>
  <c r="F55" i="53408"/>
  <c r="F56" i="53408"/>
  <c r="F57" i="53408"/>
  <c r="I57" i="53408" s="1"/>
  <c r="F58" i="53408"/>
  <c r="F52" i="53408"/>
  <c r="I52" i="53408" s="1"/>
  <c r="F41" i="53408"/>
  <c r="F42" i="53408"/>
  <c r="F43" i="53408"/>
  <c r="F44" i="53408"/>
  <c r="F45" i="53408"/>
  <c r="F46" i="53408"/>
  <c r="F40" i="53408"/>
  <c r="G44" i="53408" s="1"/>
  <c r="G40" i="53408"/>
  <c r="I40" i="53408"/>
  <c r="G46" i="53408"/>
  <c r="G42" i="53408"/>
  <c r="C52" i="53408"/>
  <c r="B68" i="53408"/>
  <c r="B40" i="53408"/>
  <c r="B52" i="53408" s="1"/>
  <c r="A40" i="53408"/>
  <c r="A52" i="53408" s="1"/>
  <c r="K62" i="53408"/>
  <c r="E25" i="53408"/>
  <c r="B24" i="53408"/>
  <c r="C41" i="53408"/>
  <c r="J41" i="53408" s="1"/>
  <c r="C42" i="53408"/>
  <c r="J42" i="53408"/>
  <c r="C43" i="53408"/>
  <c r="J43" i="53408"/>
  <c r="C44" i="53408"/>
  <c r="J44" i="53408" s="1"/>
  <c r="C45" i="53408"/>
  <c r="J45" i="53408" s="1"/>
  <c r="C46" i="53408"/>
  <c r="J46" i="53408" s="1"/>
  <c r="C58" i="53408"/>
  <c r="C53" i="53408"/>
  <c r="C54" i="53408"/>
  <c r="J54" i="53408" s="1"/>
  <c r="C55" i="53408"/>
  <c r="C56" i="53408"/>
  <c r="C57" i="53408"/>
  <c r="K65" i="53408"/>
  <c r="A97" i="53408"/>
  <c r="A98" i="53408"/>
  <c r="A99" i="53408" s="1"/>
  <c r="H46" i="53408"/>
  <c r="H44" i="53408"/>
  <c r="H56" i="53408"/>
  <c r="H45" i="53408"/>
  <c r="H57" i="53408"/>
  <c r="H53" i="53408"/>
  <c r="H43" i="53408"/>
  <c r="I43" i="53408" s="1"/>
  <c r="H55" i="53408"/>
  <c r="H54" i="53408"/>
  <c r="H58" i="53408"/>
  <c r="B96" i="53408"/>
  <c r="B61" i="53408"/>
  <c r="H42" i="53408"/>
  <c r="H41" i="53408"/>
  <c r="J53" i="53408" l="1"/>
  <c r="I44" i="53408"/>
  <c r="I54" i="53408"/>
  <c r="G58" i="53408"/>
  <c r="I53" i="53408"/>
  <c r="I46" i="53408"/>
  <c r="I56" i="53408"/>
  <c r="I42" i="53408"/>
  <c r="G56" i="53408"/>
  <c r="I55" i="53408"/>
  <c r="C96" i="53408"/>
  <c r="D96" i="53408" s="1"/>
  <c r="J58" i="53408"/>
  <c r="G54" i="53408"/>
  <c r="B99" i="53408"/>
  <c r="C99" i="53408"/>
  <c r="D99" i="53408" s="1"/>
  <c r="C98" i="53408"/>
  <c r="D98" i="53408" s="1"/>
  <c r="G45" i="53408"/>
  <c r="K44" i="53408"/>
  <c r="I58" i="53408"/>
  <c r="K46" i="53408"/>
  <c r="G55" i="53408"/>
  <c r="K45" i="53408"/>
  <c r="G53" i="53408"/>
  <c r="B98" i="53408"/>
  <c r="C97" i="53408"/>
  <c r="D97" i="53408" s="1"/>
  <c r="B97" i="53408"/>
  <c r="J52" i="53408"/>
  <c r="K52" i="53408" s="1"/>
  <c r="J57" i="53408"/>
  <c r="K57" i="53408" s="1"/>
  <c r="G57" i="53408"/>
  <c r="J56" i="53408"/>
  <c r="K56" i="53408" s="1"/>
  <c r="G41" i="53408"/>
  <c r="K41" i="53408" s="1"/>
  <c r="J55" i="53408"/>
  <c r="K55" i="53408" s="1"/>
  <c r="G52" i="53408"/>
  <c r="A99" i="53409"/>
  <c r="C99" i="53409" s="1"/>
  <c r="D99" i="53409" s="1"/>
  <c r="L56" i="53409"/>
  <c r="L59" i="53409" s="1"/>
  <c r="M62" i="53408"/>
  <c r="K63" i="53408"/>
  <c r="I45" i="53408"/>
  <c r="K42" i="53408"/>
  <c r="G43" i="53408"/>
  <c r="K43" i="53408" s="1"/>
  <c r="A100" i="53408"/>
  <c r="C100" i="53408" s="1"/>
  <c r="K54" i="53408"/>
  <c r="G34" i="53408"/>
  <c r="G35" i="53408" s="1"/>
  <c r="G31" i="53408"/>
  <c r="I41" i="53408"/>
  <c r="D98" i="53409"/>
  <c r="B98" i="53409"/>
  <c r="K53" i="53408"/>
  <c r="L53" i="53408" s="1"/>
  <c r="B64" i="53408"/>
  <c r="F67" i="53408"/>
  <c r="B65" i="53409"/>
  <c r="B66" i="53409" s="1"/>
  <c r="K64" i="53409"/>
  <c r="K66" i="53409" s="1"/>
  <c r="K67" i="53409" s="1"/>
  <c r="K61" i="53409" s="1"/>
  <c r="K47" i="53409"/>
  <c r="B99" i="53409"/>
  <c r="L55" i="53408" l="1"/>
  <c r="L57" i="53408"/>
  <c r="L54" i="53408"/>
  <c r="L56" i="53408"/>
  <c r="A100" i="53409"/>
  <c r="C100" i="53409" s="1"/>
  <c r="D100" i="53409" s="1"/>
  <c r="K68" i="53409"/>
  <c r="K47" i="53408"/>
  <c r="K58" i="53408"/>
  <c r="L58" i="53408" s="1"/>
  <c r="K64" i="53408"/>
  <c r="K66" i="53408" s="1"/>
  <c r="D100" i="53408"/>
  <c r="A101" i="53408"/>
  <c r="C101" i="53408" s="1"/>
  <c r="B100" i="53408"/>
  <c r="C65" i="53409"/>
  <c r="B69" i="53409"/>
  <c r="C64" i="53408"/>
  <c r="B65" i="53408"/>
  <c r="C66" i="53409"/>
  <c r="B71" i="53409"/>
  <c r="B70" i="53409"/>
  <c r="B67" i="53409"/>
  <c r="O67" i="53409"/>
  <c r="M67" i="53409"/>
  <c r="L59" i="53408" l="1"/>
  <c r="B100" i="53409"/>
  <c r="A101" i="53409"/>
  <c r="C101" i="53409" s="1"/>
  <c r="K68" i="53408"/>
  <c r="D101" i="53408"/>
  <c r="B101" i="53408"/>
  <c r="A102" i="53408"/>
  <c r="C102" i="53408" s="1"/>
  <c r="K67" i="53408"/>
  <c r="C65" i="53408"/>
  <c r="B66" i="53408"/>
  <c r="B69" i="53408"/>
  <c r="A102" i="53409"/>
  <c r="C102" i="53409" s="1"/>
  <c r="D101" i="53409"/>
  <c r="B101" i="53409" l="1"/>
  <c r="O67" i="53408"/>
  <c r="M67" i="53408"/>
  <c r="D102" i="53408"/>
  <c r="B102" i="53408"/>
  <c r="A103" i="53408"/>
  <c r="C103" i="53408" s="1"/>
  <c r="K61" i="53408"/>
  <c r="B67" i="53408"/>
  <c r="C66" i="53408"/>
  <c r="B71" i="53408"/>
  <c r="B70" i="53408"/>
  <c r="A103" i="53409"/>
  <c r="C103" i="53409" s="1"/>
  <c r="D102" i="53409"/>
  <c r="B102" i="53409"/>
  <c r="D103" i="53408" l="1"/>
  <c r="A104" i="53408"/>
  <c r="C104" i="53408" s="1"/>
  <c r="B103" i="53408"/>
  <c r="A104" i="53409"/>
  <c r="C104" i="53409" s="1"/>
  <c r="D103" i="53409"/>
  <c r="B103" i="53409"/>
  <c r="D104" i="53408" l="1"/>
  <c r="B104" i="53408"/>
  <c r="A105" i="53408"/>
  <c r="C105" i="53408" s="1"/>
  <c r="A105" i="53409"/>
  <c r="C105" i="53409" s="1"/>
  <c r="D104" i="53409"/>
  <c r="B104" i="53409"/>
  <c r="D105" i="53408" l="1"/>
  <c r="A106" i="53408"/>
  <c r="C106" i="53408" s="1"/>
  <c r="B105" i="53408"/>
  <c r="A106" i="53409"/>
  <c r="C106" i="53409" s="1"/>
  <c r="D105" i="53409"/>
  <c r="B105" i="53409"/>
  <c r="D106" i="53408" l="1"/>
  <c r="B106" i="53408"/>
  <c r="A107" i="53408"/>
  <c r="C107" i="53408" s="1"/>
  <c r="A107" i="53409"/>
  <c r="C107" i="53409" s="1"/>
  <c r="D106" i="53409"/>
  <c r="B106" i="53409"/>
  <c r="D107" i="53408" l="1"/>
  <c r="A108" i="53408"/>
  <c r="C108" i="53408" s="1"/>
  <c r="B107" i="53408"/>
  <c r="A108" i="53409"/>
  <c r="C108" i="53409" s="1"/>
  <c r="D107" i="53409"/>
  <c r="B107" i="53409"/>
  <c r="D108" i="53408" l="1"/>
  <c r="B108" i="53408"/>
  <c r="A109" i="53408"/>
  <c r="C109" i="53408" s="1"/>
  <c r="A109" i="53409"/>
  <c r="C109" i="53409" s="1"/>
  <c r="D108" i="53409"/>
  <c r="B108" i="53409"/>
  <c r="D109" i="53408" l="1"/>
  <c r="A110" i="53408"/>
  <c r="C110" i="53408" s="1"/>
  <c r="B109" i="53408"/>
  <c r="A110" i="53409"/>
  <c r="C110" i="53409" s="1"/>
  <c r="D109" i="53409"/>
  <c r="B109" i="53409"/>
  <c r="D110" i="53408" l="1"/>
  <c r="B110" i="53408"/>
  <c r="A111" i="53408"/>
  <c r="C111" i="53408" s="1"/>
  <c r="A111" i="53409"/>
  <c r="C111" i="53409" s="1"/>
  <c r="D110" i="53409"/>
  <c r="B110" i="53409"/>
  <c r="D111" i="53408" l="1"/>
  <c r="A112" i="53408"/>
  <c r="C112" i="53408" s="1"/>
  <c r="B111" i="53408"/>
  <c r="A112" i="53409"/>
  <c r="C112" i="53409" s="1"/>
  <c r="D111" i="53409"/>
  <c r="B111" i="53409"/>
  <c r="D112" i="53408" l="1"/>
  <c r="B112" i="53408"/>
  <c r="A113" i="53408"/>
  <c r="C113" i="53408" s="1"/>
  <c r="A113" i="53409"/>
  <c r="C113" i="53409" s="1"/>
  <c r="D112" i="53409"/>
  <c r="B112" i="53409"/>
  <c r="D113" i="53408" l="1"/>
  <c r="A114" i="53408"/>
  <c r="C114" i="53408" s="1"/>
  <c r="B113" i="53408"/>
  <c r="A114" i="53409"/>
  <c r="C114" i="53409" s="1"/>
  <c r="D113" i="53409"/>
  <c r="B113" i="53409"/>
  <c r="D114" i="53408" l="1"/>
  <c r="B114" i="53408"/>
  <c r="A115" i="53408"/>
  <c r="C115" i="53408" s="1"/>
  <c r="A115" i="53409"/>
  <c r="C115" i="53409" s="1"/>
  <c r="D114" i="53409"/>
  <c r="B114" i="53409"/>
  <c r="D115" i="53408" l="1"/>
  <c r="A116" i="53408"/>
  <c r="C116" i="53408" s="1"/>
  <c r="B115" i="53408"/>
  <c r="A116" i="53409"/>
  <c r="C116" i="53409" s="1"/>
  <c r="D115" i="53409"/>
  <c r="B115" i="53409"/>
  <c r="D116" i="53408" l="1"/>
  <c r="B116" i="53408"/>
  <c r="A117" i="53408"/>
  <c r="C117" i="53408" s="1"/>
  <c r="A117" i="53409"/>
  <c r="C117" i="53409" s="1"/>
  <c r="D116" i="53409"/>
  <c r="B116" i="53409"/>
  <c r="D117" i="53408" l="1"/>
  <c r="A118" i="53408"/>
  <c r="C118" i="53408" s="1"/>
  <c r="B117" i="53408"/>
  <c r="A118" i="53409"/>
  <c r="C118" i="53409" s="1"/>
  <c r="D117" i="53409"/>
  <c r="B117" i="53409"/>
  <c r="D118" i="53408" l="1"/>
  <c r="B118" i="53408"/>
  <c r="A119" i="53408"/>
  <c r="C119" i="53408" s="1"/>
  <c r="A119" i="53409"/>
  <c r="C119" i="53409" s="1"/>
  <c r="D118" i="53409"/>
  <c r="B118" i="53409"/>
  <c r="D119" i="53408" l="1"/>
  <c r="A120" i="53408"/>
  <c r="C120" i="53408" s="1"/>
  <c r="B119" i="53408"/>
  <c r="A120" i="53409"/>
  <c r="C120" i="53409" s="1"/>
  <c r="D119" i="53409"/>
  <c r="B119" i="53409"/>
  <c r="D120" i="53408" l="1"/>
  <c r="B120" i="53408"/>
  <c r="A121" i="53408"/>
  <c r="C121" i="53408" s="1"/>
  <c r="A121" i="53409"/>
  <c r="C121" i="53409" s="1"/>
  <c r="D120" i="53409"/>
  <c r="B120" i="53409"/>
  <c r="D121" i="53408" l="1"/>
  <c r="A122" i="53408"/>
  <c r="C122" i="53408" s="1"/>
  <c r="B121" i="53408"/>
  <c r="A122" i="53409"/>
  <c r="C122" i="53409" s="1"/>
  <c r="D121" i="53409"/>
  <c r="B121" i="53409"/>
  <c r="D122" i="53408" l="1"/>
  <c r="B122" i="53408"/>
  <c r="A123" i="53408"/>
  <c r="C123" i="53408" s="1"/>
  <c r="A123" i="53409"/>
  <c r="C123" i="53409" s="1"/>
  <c r="D122" i="53409"/>
  <c r="B122" i="53409"/>
  <c r="D123" i="53408" l="1"/>
  <c r="A124" i="53408"/>
  <c r="C124" i="53408" s="1"/>
  <c r="B123" i="53408"/>
  <c r="A124" i="53409"/>
  <c r="C124" i="53409" s="1"/>
  <c r="D123" i="53409"/>
  <c r="B123" i="53409"/>
  <c r="D124" i="53408" l="1"/>
  <c r="B124" i="53408"/>
  <c r="A125" i="53408"/>
  <c r="C125" i="53408" s="1"/>
  <c r="A125" i="53409"/>
  <c r="C125" i="53409" s="1"/>
  <c r="D124" i="53409"/>
  <c r="B124" i="53409"/>
  <c r="D125" i="53408" l="1"/>
  <c r="B125" i="53408"/>
  <c r="A126" i="53408"/>
  <c r="C126" i="53408" s="1"/>
  <c r="A126" i="53409"/>
  <c r="C126" i="53409" s="1"/>
  <c r="D125" i="53409"/>
  <c r="B125" i="53409"/>
  <c r="D126" i="53408" l="1"/>
  <c r="B126" i="53408"/>
  <c r="A127" i="53408"/>
  <c r="C127" i="53408" s="1"/>
  <c r="A127" i="53409"/>
  <c r="C127" i="53409" s="1"/>
  <c r="D126" i="53409"/>
  <c r="B126" i="53409"/>
  <c r="D127" i="53408" l="1"/>
  <c r="A128" i="53408"/>
  <c r="C128" i="53408" s="1"/>
  <c r="B127" i="53408"/>
  <c r="A128" i="53409"/>
  <c r="C128" i="53409" s="1"/>
  <c r="D127" i="53409"/>
  <c r="B127" i="53409"/>
  <c r="D128" i="53408" l="1"/>
  <c r="B128" i="53408"/>
  <c r="A129" i="53408"/>
  <c r="C129" i="53408" s="1"/>
  <c r="A129" i="53409"/>
  <c r="C129" i="53409" s="1"/>
  <c r="D128" i="53409"/>
  <c r="B128" i="53409"/>
  <c r="D129" i="53408" l="1"/>
  <c r="A130" i="53408"/>
  <c r="C130" i="53408" s="1"/>
  <c r="B129" i="53408"/>
  <c r="A130" i="53409"/>
  <c r="C130" i="53409" s="1"/>
  <c r="D129" i="53409"/>
  <c r="B129" i="53409"/>
  <c r="D130" i="53408" l="1"/>
  <c r="B130" i="53408"/>
  <c r="A131" i="53408"/>
  <c r="C131" i="53408" s="1"/>
  <c r="A131" i="53409"/>
  <c r="C131" i="53409" s="1"/>
  <c r="D130" i="53409"/>
  <c r="B130" i="53409"/>
  <c r="D131" i="53408" l="1"/>
  <c r="A132" i="53408"/>
  <c r="C132" i="53408" s="1"/>
  <c r="B131" i="53408"/>
  <c r="A132" i="53409"/>
  <c r="C132" i="53409" s="1"/>
  <c r="D131" i="53409"/>
  <c r="B131" i="53409"/>
  <c r="D132" i="53408" l="1"/>
  <c r="B132" i="53408"/>
  <c r="A133" i="53408"/>
  <c r="C133" i="53408" s="1"/>
  <c r="A133" i="53409"/>
  <c r="C133" i="53409" s="1"/>
  <c r="D132" i="53409"/>
  <c r="B132" i="53409"/>
  <c r="D133" i="53408" l="1"/>
  <c r="B133" i="53408"/>
  <c r="A134" i="53408"/>
  <c r="C134" i="53408" s="1"/>
  <c r="A134" i="53409"/>
  <c r="C134" i="53409" s="1"/>
  <c r="D133" i="53409"/>
  <c r="B133" i="53409"/>
  <c r="D134" i="53408" l="1"/>
  <c r="B134" i="53408"/>
  <c r="A135" i="53408"/>
  <c r="C135" i="53408" s="1"/>
  <c r="A135" i="53409"/>
  <c r="C135" i="53409" s="1"/>
  <c r="D134" i="53409"/>
  <c r="B134" i="53409"/>
  <c r="D135" i="53408" l="1"/>
  <c r="A136" i="53408"/>
  <c r="C136" i="53408" s="1"/>
  <c r="B135" i="53408"/>
  <c r="A136" i="53409"/>
  <c r="C136" i="53409" s="1"/>
  <c r="D135" i="53409"/>
  <c r="B135" i="53409"/>
  <c r="D136" i="53408" l="1"/>
  <c r="B136" i="53408"/>
  <c r="A137" i="53408"/>
  <c r="C137" i="53408" s="1"/>
  <c r="A137" i="53409"/>
  <c r="C137" i="53409" s="1"/>
  <c r="D136" i="53409"/>
  <c r="B136" i="53409"/>
  <c r="D137" i="53408" l="1"/>
  <c r="B137" i="53408"/>
  <c r="A138" i="53408"/>
  <c r="C138" i="53408" s="1"/>
  <c r="A138" i="53409"/>
  <c r="C138" i="53409" s="1"/>
  <c r="D137" i="53409"/>
  <c r="B137" i="53409"/>
  <c r="D138" i="53408" l="1"/>
  <c r="B138" i="53408"/>
  <c r="A139" i="53408"/>
  <c r="C139" i="53408" s="1"/>
  <c r="A139" i="53409"/>
  <c r="C139" i="53409" s="1"/>
  <c r="D138" i="53409"/>
  <c r="B138" i="53409"/>
  <c r="D139" i="53408" l="1"/>
  <c r="A140" i="53408"/>
  <c r="C140" i="53408" s="1"/>
  <c r="B139" i="53408"/>
  <c r="A140" i="53409"/>
  <c r="C140" i="53409" s="1"/>
  <c r="D139" i="53409"/>
  <c r="B139" i="53409"/>
  <c r="D140" i="53408" l="1"/>
  <c r="A141" i="53408"/>
  <c r="C141" i="53408" s="1"/>
  <c r="B140" i="53408"/>
  <c r="A141" i="53409"/>
  <c r="C141" i="53409" s="1"/>
  <c r="D140" i="53409"/>
  <c r="B140" i="53409"/>
  <c r="D141" i="53408" l="1"/>
  <c r="A142" i="53408"/>
  <c r="C142" i="53408" s="1"/>
  <c r="B141" i="53408"/>
  <c r="A142" i="53409"/>
  <c r="C142" i="53409" s="1"/>
  <c r="D141" i="53409"/>
  <c r="B141" i="53409"/>
  <c r="D142" i="53408" l="1"/>
  <c r="B142" i="53408"/>
  <c r="A143" i="53408"/>
  <c r="C143" i="53408" s="1"/>
  <c r="A143" i="53409"/>
  <c r="C143" i="53409" s="1"/>
  <c r="D142" i="53409"/>
  <c r="B142" i="53409"/>
  <c r="D143" i="53408" l="1"/>
  <c r="A144" i="53408"/>
  <c r="C144" i="53408" s="1"/>
  <c r="B143" i="53408"/>
  <c r="A144" i="53409"/>
  <c r="C144" i="53409" s="1"/>
  <c r="D143" i="53409"/>
  <c r="B143" i="53409"/>
  <c r="D144" i="53408" l="1"/>
  <c r="B144" i="53408"/>
  <c r="A145" i="53408"/>
  <c r="C145" i="53408" s="1"/>
  <c r="A145" i="53409"/>
  <c r="C145" i="53409" s="1"/>
  <c r="D144" i="53409"/>
  <c r="B144" i="53409"/>
  <c r="D145" i="53408" l="1"/>
  <c r="A146" i="53408"/>
  <c r="C146" i="53408" s="1"/>
  <c r="B145" i="53408"/>
  <c r="A146" i="53409"/>
  <c r="C146" i="53409" s="1"/>
  <c r="D145" i="53409"/>
  <c r="B145" i="53409"/>
  <c r="D146" i="53408" l="1"/>
  <c r="B146" i="53408"/>
  <c r="A147" i="53408"/>
  <c r="C147" i="53408" s="1"/>
  <c r="A147" i="53409"/>
  <c r="C147" i="53409" s="1"/>
  <c r="D146" i="53409"/>
  <c r="B146" i="53409"/>
  <c r="D147" i="53408" l="1"/>
  <c r="A148" i="53408"/>
  <c r="C148" i="53408" s="1"/>
  <c r="B147" i="53408"/>
  <c r="A148" i="53409"/>
  <c r="C148" i="53409" s="1"/>
  <c r="D147" i="53409"/>
  <c r="B147" i="53409"/>
  <c r="D148" i="53408" l="1"/>
  <c r="B148" i="53408"/>
  <c r="A149" i="53408"/>
  <c r="C149" i="53408" s="1"/>
  <c r="A149" i="53409"/>
  <c r="C149" i="53409" s="1"/>
  <c r="D148" i="53409"/>
  <c r="B148" i="53409"/>
  <c r="D149" i="53408" l="1"/>
  <c r="A150" i="53408"/>
  <c r="C150" i="53408" s="1"/>
  <c r="B149" i="53408"/>
  <c r="A150" i="53409"/>
  <c r="C150" i="53409" s="1"/>
  <c r="D149" i="53409"/>
  <c r="B149" i="53409"/>
  <c r="D150" i="53408" l="1"/>
  <c r="B150" i="53408"/>
  <c r="A151" i="53408"/>
  <c r="C151" i="53408" s="1"/>
  <c r="A151" i="53409"/>
  <c r="C151" i="53409" s="1"/>
  <c r="D150" i="53409"/>
  <c r="B150" i="53409"/>
  <c r="D151" i="53408" l="1"/>
  <c r="A152" i="53408"/>
  <c r="C152" i="53408" s="1"/>
  <c r="B151" i="53408"/>
  <c r="A152" i="53409"/>
  <c r="C152" i="53409" s="1"/>
  <c r="D151" i="53409"/>
  <c r="B151" i="53409"/>
  <c r="D152" i="53408" l="1"/>
  <c r="B152" i="53408"/>
  <c r="A153" i="53408"/>
  <c r="C153" i="53408" s="1"/>
  <c r="A153" i="53409"/>
  <c r="C153" i="53409" s="1"/>
  <c r="D152" i="53409"/>
  <c r="B152" i="53409"/>
  <c r="D153" i="53408" l="1"/>
  <c r="A154" i="53408"/>
  <c r="C154" i="53408" s="1"/>
  <c r="B153" i="53408"/>
  <c r="A154" i="53409"/>
  <c r="C154" i="53409" s="1"/>
  <c r="D153" i="53409"/>
  <c r="B153" i="53409"/>
  <c r="D154" i="53408" l="1"/>
  <c r="B154" i="53408"/>
  <c r="A155" i="53408"/>
  <c r="C155" i="53408" s="1"/>
  <c r="A155" i="53409"/>
  <c r="C155" i="53409" s="1"/>
  <c r="D154" i="53409"/>
  <c r="B154" i="53409"/>
  <c r="D155" i="53408" l="1"/>
  <c r="A156" i="53408"/>
  <c r="C156" i="53408" s="1"/>
  <c r="B155" i="53408"/>
  <c r="A156" i="53409"/>
  <c r="C156" i="53409" s="1"/>
  <c r="D155" i="53409"/>
  <c r="B155" i="53409"/>
  <c r="D156" i="53408" l="1"/>
  <c r="A157" i="53408"/>
  <c r="C157" i="53408" s="1"/>
  <c r="B156" i="53408"/>
  <c r="A157" i="53409"/>
  <c r="C157" i="53409" s="1"/>
  <c r="D156" i="53409"/>
  <c r="B156" i="53409"/>
  <c r="D157" i="53408" l="1"/>
  <c r="A158" i="53408"/>
  <c r="C158" i="53408" s="1"/>
  <c r="B157" i="53408"/>
  <c r="A158" i="53409"/>
  <c r="C158" i="53409" s="1"/>
  <c r="D157" i="53409"/>
  <c r="B157" i="53409"/>
  <c r="D158" i="53408" l="1"/>
  <c r="B158" i="53408"/>
  <c r="A159" i="53408"/>
  <c r="C159" i="53408" s="1"/>
  <c r="A159" i="53409"/>
  <c r="C159" i="53409" s="1"/>
  <c r="D158" i="53409"/>
  <c r="B158" i="53409"/>
  <c r="D159" i="53408" l="1"/>
  <c r="A160" i="53408"/>
  <c r="C160" i="53408" s="1"/>
  <c r="B159" i="53408"/>
  <c r="A160" i="53409"/>
  <c r="C160" i="53409" s="1"/>
  <c r="D159" i="53409"/>
  <c r="B159" i="53409"/>
  <c r="D160" i="53408" l="1"/>
  <c r="B160" i="53408"/>
  <c r="A161" i="53408"/>
  <c r="C161" i="53408" s="1"/>
  <c r="A161" i="53409"/>
  <c r="C161" i="53409" s="1"/>
  <c r="D160" i="53409"/>
  <c r="B160" i="53409"/>
  <c r="D161" i="53408" l="1"/>
  <c r="A162" i="53408"/>
  <c r="C162" i="53408" s="1"/>
  <c r="B161" i="53408"/>
  <c r="A162" i="53409"/>
  <c r="C162" i="53409" s="1"/>
  <c r="D161" i="53409"/>
  <c r="B161" i="53409"/>
  <c r="D162" i="53408" l="1"/>
  <c r="B162" i="53408"/>
  <c r="A163" i="53408"/>
  <c r="C163" i="53408" s="1"/>
  <c r="A163" i="53409"/>
  <c r="C163" i="53409" s="1"/>
  <c r="D162" i="53409"/>
  <c r="B162" i="53409"/>
  <c r="D163" i="53408" l="1"/>
  <c r="A164" i="53408"/>
  <c r="C164" i="53408" s="1"/>
  <c r="B163" i="53408"/>
  <c r="A164" i="53409"/>
  <c r="C164" i="53409" s="1"/>
  <c r="D163" i="53409"/>
  <c r="B163" i="53409"/>
  <c r="D164" i="53408" l="1"/>
  <c r="A165" i="53408"/>
  <c r="C165" i="53408" s="1"/>
  <c r="B164" i="53408"/>
  <c r="A165" i="53409"/>
  <c r="C165" i="53409" s="1"/>
  <c r="D164" i="53409"/>
  <c r="B164" i="53409"/>
  <c r="D165" i="53408" l="1"/>
  <c r="A166" i="53408"/>
  <c r="C166" i="53408" s="1"/>
  <c r="B165" i="53408"/>
  <c r="A166" i="53409"/>
  <c r="C166" i="53409" s="1"/>
  <c r="D165" i="53409"/>
  <c r="B165" i="53409"/>
  <c r="D166" i="53408" l="1"/>
  <c r="B166" i="53408"/>
  <c r="A167" i="53408"/>
  <c r="C167" i="53408" s="1"/>
  <c r="A167" i="53409"/>
  <c r="C167" i="53409" s="1"/>
  <c r="D166" i="53409"/>
  <c r="B166" i="53409"/>
  <c r="D167" i="53408" l="1"/>
  <c r="A168" i="53408"/>
  <c r="C168" i="53408" s="1"/>
  <c r="B167" i="53408"/>
  <c r="A168" i="53409"/>
  <c r="C168" i="53409" s="1"/>
  <c r="D167" i="53409"/>
  <c r="B167" i="53409"/>
  <c r="D168" i="53408" l="1"/>
  <c r="B168" i="53408"/>
  <c r="A169" i="53408"/>
  <c r="C169" i="53408" s="1"/>
  <c r="A169" i="53409"/>
  <c r="C169" i="53409" s="1"/>
  <c r="D168" i="53409"/>
  <c r="B168" i="53409"/>
  <c r="D169" i="53408" l="1"/>
  <c r="B169" i="53408"/>
  <c r="A170" i="53408"/>
  <c r="C170" i="53408" s="1"/>
  <c r="A170" i="53409"/>
  <c r="C170" i="53409" s="1"/>
  <c r="D169" i="53409"/>
  <c r="B169" i="53409"/>
  <c r="D170" i="53408" l="1"/>
  <c r="A171" i="53408"/>
  <c r="C171" i="53408" s="1"/>
  <c r="B170" i="53408"/>
  <c r="B170" i="53409"/>
  <c r="A171" i="53409"/>
  <c r="C171" i="53409" s="1"/>
  <c r="D170" i="53409"/>
  <c r="D171" i="53408" l="1"/>
  <c r="A172" i="53408"/>
  <c r="C172" i="53408" s="1"/>
  <c r="B171" i="53408"/>
  <c r="D171" i="53409"/>
  <c r="B171" i="53409"/>
  <c r="A172" i="53409"/>
  <c r="C172" i="53409" s="1"/>
  <c r="D172" i="53408" l="1"/>
  <c r="B172" i="53408"/>
  <c r="A173" i="53408"/>
  <c r="C173" i="53408" s="1"/>
  <c r="A173" i="53409"/>
  <c r="C173" i="53409" s="1"/>
  <c r="D172" i="53409"/>
  <c r="B172" i="53409"/>
  <c r="D173" i="53408" l="1"/>
  <c r="B173" i="53408"/>
  <c r="A174" i="53408"/>
  <c r="C174" i="53408" s="1"/>
  <c r="A174" i="53409"/>
  <c r="C174" i="53409" s="1"/>
  <c r="D173" i="53409"/>
  <c r="B173" i="53409"/>
  <c r="D174" i="53408" l="1"/>
  <c r="A175" i="53408"/>
  <c r="C175" i="53408" s="1"/>
  <c r="B174" i="53408"/>
  <c r="B174" i="53409"/>
  <c r="A175" i="53409"/>
  <c r="C175" i="53409" s="1"/>
  <c r="D174" i="53409"/>
  <c r="D175" i="53408" l="1"/>
  <c r="B175" i="53408"/>
  <c r="A176" i="53408"/>
  <c r="C176" i="53408" s="1"/>
  <c r="D175" i="53409"/>
  <c r="B175" i="53409"/>
  <c r="A176" i="53409"/>
  <c r="C176" i="53409" s="1"/>
  <c r="D176" i="53408" l="1"/>
  <c r="A177" i="53408"/>
  <c r="C177" i="53408" s="1"/>
  <c r="B176" i="53408"/>
  <c r="A177" i="53409"/>
  <c r="C177" i="53409" s="1"/>
  <c r="D176" i="53409"/>
  <c r="B176" i="53409"/>
  <c r="D177" i="53408" l="1"/>
  <c r="B177" i="53408"/>
  <c r="A178" i="53408"/>
  <c r="C178" i="53408" s="1"/>
  <c r="A178" i="53409"/>
  <c r="C178" i="53409" s="1"/>
  <c r="D177" i="53409"/>
  <c r="B177" i="53409"/>
  <c r="D178" i="53408" l="1"/>
  <c r="B178" i="53408"/>
  <c r="A179" i="53408"/>
  <c r="C179" i="53408" s="1"/>
  <c r="B178" i="53409"/>
  <c r="A179" i="53409"/>
  <c r="C179" i="53409" s="1"/>
  <c r="D178" i="53409"/>
  <c r="D179" i="53408" l="1"/>
  <c r="A180" i="53408"/>
  <c r="C180" i="53408" s="1"/>
  <c r="B179" i="53408"/>
  <c r="D179" i="53409"/>
  <c r="B179" i="53409"/>
  <c r="A180" i="53409"/>
  <c r="C180" i="53409" s="1"/>
  <c r="D180" i="53408" l="1"/>
  <c r="A181" i="53408"/>
  <c r="C181" i="53408" s="1"/>
  <c r="B180" i="53408"/>
  <c r="A181" i="53409"/>
  <c r="C181" i="53409" s="1"/>
  <c r="D180" i="53409"/>
  <c r="B180" i="53409"/>
  <c r="D181" i="53408" l="1"/>
  <c r="A182" i="53408"/>
  <c r="C182" i="53408" s="1"/>
  <c r="B181" i="53408"/>
  <c r="A182" i="53409"/>
  <c r="C182" i="53409" s="1"/>
  <c r="D181" i="53409"/>
  <c r="B181" i="53409"/>
  <c r="D182" i="53408" l="1"/>
  <c r="A183" i="53408"/>
  <c r="C183" i="53408" s="1"/>
  <c r="B182" i="53408"/>
  <c r="B182" i="53409"/>
  <c r="A183" i="53409"/>
  <c r="C183" i="53409" s="1"/>
  <c r="D182" i="53409"/>
  <c r="D183" i="53408" l="1"/>
  <c r="B183" i="53408"/>
  <c r="A184" i="53408"/>
  <c r="C184" i="53408" s="1"/>
  <c r="D183" i="53409"/>
  <c r="B183" i="53409"/>
  <c r="A184" i="53409"/>
  <c r="C184" i="53409" s="1"/>
  <c r="D184" i="53408" l="1"/>
  <c r="A185" i="53408"/>
  <c r="C185" i="53408" s="1"/>
  <c r="B184" i="53408"/>
  <c r="A185" i="53409"/>
  <c r="C185" i="53409" s="1"/>
  <c r="D184" i="53409"/>
  <c r="B184" i="53409"/>
  <c r="D185" i="53408" l="1"/>
  <c r="A186" i="53408"/>
  <c r="C186" i="53408" s="1"/>
  <c r="B185" i="53408"/>
  <c r="A186" i="53409"/>
  <c r="C186" i="53409" s="1"/>
  <c r="D185" i="53409"/>
  <c r="B185" i="53409"/>
  <c r="D186" i="53408" l="1"/>
  <c r="A187" i="53408"/>
  <c r="C187" i="53408" s="1"/>
  <c r="B186" i="53408"/>
  <c r="B186" i="53409"/>
  <c r="A187" i="53409"/>
  <c r="C187" i="53409" s="1"/>
  <c r="D186" i="53409"/>
  <c r="D187" i="53408" l="1"/>
  <c r="B187" i="53408"/>
  <c r="A188" i="53408"/>
  <c r="C188" i="53408" s="1"/>
  <c r="D187" i="53409"/>
  <c r="B187" i="53409"/>
  <c r="A188" i="53409"/>
  <c r="C188" i="53409" s="1"/>
  <c r="D188" i="53408" l="1"/>
  <c r="A189" i="53408"/>
  <c r="C189" i="53408" s="1"/>
  <c r="B188" i="53408"/>
  <c r="A189" i="53409"/>
  <c r="C189" i="53409" s="1"/>
  <c r="D188" i="53409"/>
  <c r="B188" i="53409"/>
  <c r="D189" i="53408" l="1"/>
  <c r="A190" i="53408"/>
  <c r="C190" i="53408" s="1"/>
  <c r="B189" i="53408"/>
  <c r="A190" i="53409"/>
  <c r="C190" i="53409" s="1"/>
  <c r="D189" i="53409"/>
  <c r="B189" i="53409"/>
  <c r="D190" i="53408" l="1"/>
  <c r="B190" i="53408"/>
  <c r="A191" i="53408"/>
  <c r="C191" i="53408" s="1"/>
  <c r="B190" i="53409"/>
  <c r="A191" i="53409"/>
  <c r="C191" i="53409" s="1"/>
  <c r="D190" i="53409"/>
  <c r="D191" i="53408" l="1"/>
  <c r="A192" i="53408"/>
  <c r="C192" i="53408" s="1"/>
  <c r="B191" i="53408"/>
  <c r="D191" i="53409"/>
  <c r="B191" i="53409"/>
  <c r="A192" i="53409"/>
  <c r="C192" i="53409" s="1"/>
  <c r="D192" i="53408" l="1"/>
  <c r="A193" i="53408"/>
  <c r="C193" i="53408" s="1"/>
  <c r="B192" i="53408"/>
  <c r="A193" i="53409"/>
  <c r="C193" i="53409" s="1"/>
  <c r="D192" i="53409"/>
  <c r="B192" i="53409"/>
  <c r="D193" i="53408" l="1"/>
  <c r="A194" i="53408"/>
  <c r="C194" i="53408" s="1"/>
  <c r="B193" i="53408"/>
  <c r="A194" i="53409"/>
  <c r="C194" i="53409" s="1"/>
  <c r="D193" i="53409"/>
  <c r="B193" i="53409"/>
  <c r="D194" i="53408" l="1"/>
  <c r="B194" i="53408"/>
  <c r="A195" i="53408"/>
  <c r="C195" i="53408" s="1"/>
  <c r="B194" i="53409"/>
  <c r="A195" i="53409"/>
  <c r="C195" i="53409" s="1"/>
  <c r="D194" i="53409"/>
  <c r="D195" i="53408" l="1"/>
  <c r="B195" i="53408"/>
  <c r="A196" i="53408"/>
  <c r="C196" i="53408" s="1"/>
  <c r="D195" i="53409"/>
  <c r="B195" i="53409"/>
  <c r="A196" i="53409"/>
  <c r="C196" i="53409" s="1"/>
  <c r="D196" i="53408" l="1"/>
  <c r="B196" i="53408"/>
  <c r="A197" i="53408"/>
  <c r="C197" i="53408" s="1"/>
  <c r="A197" i="53409"/>
  <c r="C197" i="53409" s="1"/>
  <c r="D196" i="53409"/>
  <c r="B196" i="53409"/>
  <c r="D197" i="53408" l="1"/>
  <c r="B197" i="53408"/>
  <c r="A198" i="53408"/>
  <c r="C198" i="53408" s="1"/>
  <c r="A198" i="53409"/>
  <c r="C198" i="53409" s="1"/>
  <c r="D197" i="53409"/>
  <c r="B197" i="53409"/>
  <c r="D198" i="53408" l="1"/>
  <c r="B198" i="53408"/>
  <c r="A199" i="53408"/>
  <c r="C199" i="53408" s="1"/>
  <c r="B198" i="53409"/>
  <c r="A199" i="53409"/>
  <c r="C199" i="53409" s="1"/>
  <c r="D198" i="53409"/>
  <c r="D199" i="53408" l="1"/>
  <c r="B199" i="53408"/>
  <c r="A200" i="53408"/>
  <c r="C200" i="53408" s="1"/>
  <c r="D199" i="53409"/>
  <c r="B199" i="53409"/>
  <c r="A200" i="53409"/>
  <c r="C200" i="53409" s="1"/>
  <c r="D200" i="53408" l="1"/>
  <c r="A201" i="53408"/>
  <c r="C201" i="53408" s="1"/>
  <c r="B200" i="53408"/>
  <c r="A201" i="53409"/>
  <c r="C201" i="53409" s="1"/>
  <c r="D200" i="53409"/>
  <c r="B200" i="53409"/>
  <c r="D201" i="53408" l="1"/>
  <c r="A202" i="53408"/>
  <c r="C202" i="53408" s="1"/>
  <c r="B201" i="53408"/>
  <c r="A202" i="53409"/>
  <c r="C202" i="53409" s="1"/>
  <c r="D201" i="53409"/>
  <c r="B201" i="53409"/>
  <c r="D202" i="53408" l="1"/>
  <c r="A203" i="53408"/>
  <c r="C203" i="53408" s="1"/>
  <c r="B202" i="53408"/>
  <c r="B202" i="53409"/>
  <c r="A203" i="53409"/>
  <c r="C203" i="53409" s="1"/>
  <c r="D202" i="53409"/>
  <c r="D203" i="53408" l="1"/>
  <c r="B203" i="53408"/>
  <c r="A204" i="53408"/>
  <c r="C204" i="53408" s="1"/>
  <c r="D203" i="53409"/>
  <c r="B203" i="53409"/>
  <c r="A204" i="53409"/>
  <c r="C204" i="53409" s="1"/>
  <c r="D204" i="53408" l="1"/>
  <c r="A205" i="53408"/>
  <c r="C205" i="53408" s="1"/>
  <c r="B204" i="53408"/>
  <c r="A205" i="53409"/>
  <c r="C205" i="53409" s="1"/>
  <c r="D204" i="53409"/>
  <c r="B204" i="53409"/>
  <c r="D205" i="53408" l="1"/>
  <c r="A206" i="53408"/>
  <c r="C206" i="53408" s="1"/>
  <c r="B205" i="53408"/>
  <c r="A206" i="53409"/>
  <c r="C206" i="53409" s="1"/>
  <c r="D205" i="53409"/>
  <c r="B205" i="53409"/>
  <c r="D206" i="53408" l="1"/>
  <c r="B206" i="53408"/>
  <c r="A207" i="53408"/>
  <c r="C207" i="53408" s="1"/>
  <c r="B206" i="53409"/>
  <c r="A207" i="53409"/>
  <c r="C207" i="53409" s="1"/>
  <c r="D206" i="53409"/>
  <c r="D207" i="53408" l="1"/>
  <c r="B207" i="53408"/>
  <c r="A208" i="53408"/>
  <c r="C208" i="53408" s="1"/>
  <c r="D207" i="53409"/>
  <c r="B207" i="53409"/>
  <c r="A208" i="53409"/>
  <c r="C208" i="53409" s="1"/>
  <c r="D208" i="53408" l="1"/>
  <c r="A209" i="53408"/>
  <c r="C209" i="53408" s="1"/>
  <c r="B208" i="53408"/>
  <c r="A209" i="53409"/>
  <c r="C209" i="53409" s="1"/>
  <c r="D208" i="53409"/>
  <c r="B208" i="53409"/>
  <c r="D209" i="53408" l="1"/>
  <c r="A210" i="53408"/>
  <c r="C210" i="53408" s="1"/>
  <c r="B209" i="53408"/>
  <c r="A210" i="53409"/>
  <c r="C210" i="53409" s="1"/>
  <c r="D209" i="53409"/>
  <c r="B209" i="53409"/>
  <c r="D210" i="53408" l="1"/>
  <c r="B210" i="53408"/>
  <c r="A211" i="53408"/>
  <c r="C211" i="53408" s="1"/>
  <c r="B210" i="53409"/>
  <c r="A211" i="53409"/>
  <c r="C211" i="53409" s="1"/>
  <c r="D210" i="53409"/>
  <c r="D211" i="53408" l="1"/>
  <c r="B211" i="53408"/>
  <c r="A212" i="53408"/>
  <c r="C212" i="53408" s="1"/>
  <c r="D211" i="53409"/>
  <c r="B211" i="53409"/>
  <c r="A212" i="53409"/>
  <c r="C212" i="53409" s="1"/>
  <c r="D212" i="53408" l="1"/>
  <c r="A213" i="53408"/>
  <c r="C213" i="53408" s="1"/>
  <c r="B212" i="53408"/>
  <c r="D212" i="53409"/>
  <c r="A213" i="53409"/>
  <c r="C213" i="53409" s="1"/>
  <c r="B212" i="53409"/>
  <c r="D213" i="53408" l="1"/>
  <c r="A214" i="53408"/>
  <c r="C214" i="53408" s="1"/>
  <c r="B213" i="53408"/>
  <c r="D213" i="53409"/>
  <c r="B213" i="53409"/>
  <c r="A214" i="53409"/>
  <c r="C214" i="53409" s="1"/>
  <c r="D214" i="53408" l="1"/>
  <c r="B214" i="53408"/>
  <c r="A215" i="53408"/>
  <c r="C215" i="53408" s="1"/>
  <c r="D214" i="53409"/>
  <c r="A215" i="53409"/>
  <c r="C215" i="53409" s="1"/>
  <c r="B214" i="53409"/>
  <c r="D215" i="53408" l="1"/>
  <c r="B215" i="53408"/>
  <c r="A216" i="53408"/>
  <c r="C216" i="53408" s="1"/>
  <c r="D215" i="53409"/>
  <c r="B215" i="53409"/>
  <c r="A216" i="53409"/>
  <c r="C216" i="53409" s="1"/>
  <c r="D216" i="53408" l="1"/>
  <c r="A217" i="53408"/>
  <c r="C217" i="53408" s="1"/>
  <c r="B216" i="53408"/>
  <c r="D216" i="53409"/>
  <c r="B216" i="53409"/>
  <c r="A217" i="53409"/>
  <c r="C217" i="53409" s="1"/>
  <c r="D217" i="53408" l="1"/>
  <c r="A218" i="53408"/>
  <c r="C218" i="53408" s="1"/>
  <c r="B217" i="53408"/>
  <c r="D217" i="53409"/>
  <c r="B217" i="53409"/>
  <c r="A218" i="53409"/>
  <c r="C218" i="53409" s="1"/>
  <c r="D218" i="53408" l="1"/>
  <c r="B218" i="53408"/>
  <c r="A219" i="53408"/>
  <c r="C219" i="53408" s="1"/>
  <c r="D218" i="53409"/>
  <c r="A219" i="53409"/>
  <c r="C219" i="53409" s="1"/>
  <c r="B218" i="53409"/>
  <c r="D219" i="53408" l="1"/>
  <c r="B219" i="53408"/>
  <c r="A220" i="53408"/>
  <c r="C220" i="53408" s="1"/>
  <c r="D219" i="53409"/>
  <c r="B219" i="53409"/>
  <c r="A220" i="53409"/>
  <c r="C220" i="53409" s="1"/>
  <c r="D220" i="53408" l="1"/>
  <c r="A221" i="53408"/>
  <c r="C221" i="53408" s="1"/>
  <c r="B220" i="53408"/>
  <c r="D220" i="53409"/>
  <c r="A221" i="53409"/>
  <c r="C221" i="53409" s="1"/>
  <c r="B220" i="53409"/>
  <c r="D221" i="53408" l="1"/>
  <c r="A222" i="53408"/>
  <c r="C222" i="53408" s="1"/>
  <c r="B221" i="53408"/>
  <c r="D221" i="53409"/>
  <c r="B221" i="53409"/>
  <c r="A222" i="53409"/>
  <c r="C222" i="53409" s="1"/>
  <c r="D222" i="53408" l="1"/>
  <c r="B222" i="53408"/>
  <c r="A223" i="53408"/>
  <c r="C223" i="53408" s="1"/>
  <c r="D222" i="53409"/>
  <c r="A223" i="53409"/>
  <c r="C223" i="53409" s="1"/>
  <c r="B222" i="53409"/>
  <c r="D223" i="53408" l="1"/>
  <c r="B223" i="53408"/>
  <c r="A224" i="53408"/>
  <c r="C224" i="53408" s="1"/>
  <c r="D223" i="53409"/>
  <c r="B223" i="53409"/>
  <c r="A224" i="53409"/>
  <c r="C224" i="53409" s="1"/>
  <c r="D224" i="53408" l="1"/>
  <c r="A225" i="53408"/>
  <c r="C225" i="53408" s="1"/>
  <c r="B224" i="53408"/>
  <c r="D224" i="53409"/>
  <c r="B224" i="53409"/>
  <c r="A225" i="53409"/>
  <c r="C225" i="53409" s="1"/>
  <c r="D225" i="53408" l="1"/>
  <c r="B225" i="53408"/>
  <c r="A226" i="53408"/>
  <c r="C226" i="53408" s="1"/>
  <c r="D225" i="53409"/>
  <c r="B225" i="53409"/>
  <c r="A226" i="53409"/>
  <c r="C226" i="53409" s="1"/>
  <c r="D226" i="53408" l="1"/>
  <c r="B226" i="53408"/>
  <c r="A227" i="53408"/>
  <c r="C227" i="53408" s="1"/>
  <c r="D226" i="53409"/>
  <c r="A227" i="53409"/>
  <c r="C227" i="53409" s="1"/>
  <c r="B226" i="53409"/>
  <c r="D227" i="53408" l="1"/>
  <c r="A228" i="53408"/>
  <c r="C228" i="53408" s="1"/>
  <c r="B227" i="53408"/>
  <c r="D227" i="53409"/>
  <c r="B227" i="53409"/>
  <c r="A228" i="53409"/>
  <c r="C228" i="53409" s="1"/>
  <c r="D228" i="53408" l="1"/>
  <c r="A229" i="53408"/>
  <c r="C229" i="53408" s="1"/>
  <c r="B228" i="53408"/>
  <c r="D228" i="53409"/>
  <c r="A229" i="53409"/>
  <c r="C229" i="53409" s="1"/>
  <c r="B228" i="53409"/>
  <c r="D229" i="53408" l="1"/>
  <c r="A230" i="53408"/>
  <c r="C230" i="53408" s="1"/>
  <c r="B229" i="53408"/>
  <c r="D229" i="53409"/>
  <c r="B229" i="53409"/>
  <c r="A230" i="53409"/>
  <c r="C230" i="53409" s="1"/>
  <c r="D230" i="53408" l="1"/>
  <c r="A231" i="53408"/>
  <c r="C231" i="53408" s="1"/>
  <c r="B230" i="53408"/>
  <c r="D230" i="53409"/>
  <c r="A231" i="53409"/>
  <c r="C231" i="53409" s="1"/>
  <c r="B230" i="53409"/>
  <c r="D231" i="53408" l="1"/>
  <c r="B231" i="53408"/>
  <c r="A232" i="53408"/>
  <c r="C232" i="53408" s="1"/>
  <c r="D231" i="53409"/>
  <c r="B231" i="53409"/>
  <c r="A232" i="53409"/>
  <c r="C232" i="53409" s="1"/>
  <c r="D232" i="53408" l="1"/>
  <c r="A233" i="53408"/>
  <c r="C233" i="53408" s="1"/>
  <c r="B232" i="53408"/>
  <c r="D232" i="53409"/>
  <c r="B232" i="53409"/>
  <c r="A233" i="53409"/>
  <c r="C233" i="53409" s="1"/>
  <c r="D233" i="53408" l="1"/>
  <c r="B233" i="53408"/>
  <c r="A234" i="53408"/>
  <c r="C234" i="53408" s="1"/>
  <c r="D233" i="53409"/>
  <c r="B233" i="53409"/>
  <c r="A234" i="53409"/>
  <c r="C234" i="53409" s="1"/>
  <c r="D234" i="53408" l="1"/>
  <c r="A235" i="53408"/>
  <c r="C235" i="53408" s="1"/>
  <c r="B234" i="53408"/>
  <c r="D234" i="53409"/>
  <c r="A235" i="53409"/>
  <c r="C235" i="53409" s="1"/>
  <c r="B234" i="53409"/>
  <c r="D235" i="53408" l="1"/>
  <c r="A236" i="53408"/>
  <c r="C236" i="53408" s="1"/>
  <c r="B235" i="53408"/>
  <c r="D235" i="53409"/>
  <c r="B235" i="53409"/>
  <c r="A236" i="53409"/>
  <c r="C236" i="53409" s="1"/>
  <c r="D236" i="53408" l="1"/>
  <c r="B236" i="53408"/>
  <c r="A237" i="53408"/>
  <c r="C237" i="53408" s="1"/>
  <c r="D236" i="53409"/>
  <c r="A237" i="53409"/>
  <c r="C237" i="53409" s="1"/>
  <c r="B236" i="53409"/>
  <c r="D237" i="53408" l="1"/>
  <c r="A238" i="53408"/>
  <c r="C238" i="53408" s="1"/>
  <c r="B237" i="53408"/>
  <c r="D237" i="53409"/>
  <c r="B237" i="53409"/>
  <c r="A238" i="53409"/>
  <c r="C238" i="53409" s="1"/>
  <c r="D238" i="53408" l="1"/>
  <c r="A239" i="53408"/>
  <c r="C239" i="53408" s="1"/>
  <c r="B238" i="53408"/>
  <c r="D238" i="53409"/>
  <c r="A239" i="53409"/>
  <c r="C239" i="53409" s="1"/>
  <c r="B238" i="53409"/>
  <c r="D239" i="53408" l="1"/>
  <c r="A240" i="53408"/>
  <c r="C240" i="53408" s="1"/>
  <c r="B239" i="53408"/>
  <c r="D239" i="53409"/>
  <c r="B239" i="53409"/>
  <c r="A240" i="53409"/>
  <c r="C240" i="53409" s="1"/>
  <c r="D240" i="53408" l="1"/>
  <c r="A241" i="53408"/>
  <c r="C241" i="53408" s="1"/>
  <c r="B240" i="53408"/>
  <c r="D240" i="53409"/>
  <c r="B240" i="53409"/>
  <c r="A241" i="53409"/>
  <c r="C241" i="53409" s="1"/>
  <c r="D241" i="53408" l="1"/>
  <c r="A242" i="53408"/>
  <c r="C242" i="53408" s="1"/>
  <c r="B241" i="53408"/>
  <c r="D241" i="53409"/>
  <c r="B241" i="53409"/>
  <c r="A242" i="53409"/>
  <c r="C242" i="53409" s="1"/>
  <c r="D242" i="53408" l="1"/>
  <c r="A243" i="53408"/>
  <c r="C243" i="53408" s="1"/>
  <c r="B242" i="53408"/>
  <c r="D242" i="53409"/>
  <c r="A243" i="53409"/>
  <c r="C243" i="53409" s="1"/>
  <c r="B242" i="53409"/>
  <c r="D243" i="53408" l="1"/>
  <c r="A244" i="53408"/>
  <c r="C244" i="53408" s="1"/>
  <c r="B243" i="53408"/>
  <c r="D243" i="53409"/>
  <c r="B243" i="53409"/>
  <c r="A244" i="53409"/>
  <c r="C244" i="53409" s="1"/>
  <c r="D244" i="53408" l="1"/>
  <c r="B244" i="53408"/>
  <c r="A245" i="53408"/>
  <c r="C245" i="53408" s="1"/>
  <c r="D244" i="53409"/>
  <c r="A245" i="53409"/>
  <c r="C245" i="53409" s="1"/>
  <c r="B244" i="53409"/>
  <c r="D245" i="53408" l="1"/>
  <c r="A246" i="53408"/>
  <c r="C246" i="53408" s="1"/>
  <c r="B245" i="53408"/>
  <c r="D245" i="53409"/>
  <c r="B245" i="53409"/>
  <c r="A246" i="53409"/>
  <c r="C246" i="53409" s="1"/>
  <c r="D246" i="53408" l="1"/>
  <c r="B246" i="53408"/>
  <c r="A247" i="53408"/>
  <c r="C247" i="53408" s="1"/>
  <c r="D246" i="53409"/>
  <c r="A247" i="53409"/>
  <c r="C247" i="53409" s="1"/>
  <c r="B246" i="53409"/>
  <c r="D247" i="53408" l="1"/>
  <c r="A248" i="53408"/>
  <c r="C248" i="53408" s="1"/>
  <c r="B247" i="53408"/>
  <c r="D247" i="53409"/>
  <c r="B247" i="53409"/>
  <c r="A248" i="53409"/>
  <c r="C248" i="53409" s="1"/>
  <c r="D248" i="53408" l="1"/>
  <c r="B248" i="53408"/>
  <c r="A249" i="53408"/>
  <c r="C249" i="53408" s="1"/>
  <c r="D248" i="53409"/>
  <c r="B248" i="53409"/>
  <c r="A249" i="53409"/>
  <c r="C249" i="53409" s="1"/>
  <c r="D249" i="53408" l="1"/>
  <c r="A250" i="53408"/>
  <c r="C250" i="53408" s="1"/>
  <c r="B249" i="53408"/>
  <c r="D249" i="53409"/>
  <c r="B249" i="53409"/>
  <c r="A250" i="53409"/>
  <c r="C250" i="53409" s="1"/>
  <c r="D250" i="53408" l="1"/>
  <c r="B250" i="53408"/>
  <c r="A251" i="53408"/>
  <c r="C251" i="53408" s="1"/>
  <c r="D250" i="53409"/>
  <c r="A251" i="53409"/>
  <c r="C251" i="53409" s="1"/>
  <c r="B250" i="53409"/>
  <c r="D251" i="53408" l="1"/>
  <c r="A252" i="53408"/>
  <c r="C252" i="53408" s="1"/>
  <c r="B251" i="53408"/>
  <c r="D251" i="53409"/>
  <c r="B251" i="53409"/>
  <c r="A252" i="53409"/>
  <c r="C252" i="53409" s="1"/>
  <c r="D252" i="53408" l="1"/>
  <c r="A253" i="53408"/>
  <c r="C253" i="53408" s="1"/>
  <c r="B252" i="53408"/>
  <c r="D252" i="53409"/>
  <c r="A253" i="53409"/>
  <c r="C253" i="53409" s="1"/>
  <c r="B252" i="53409"/>
  <c r="D253" i="53408" l="1"/>
  <c r="A254" i="53408"/>
  <c r="C254" i="53408" s="1"/>
  <c r="B253" i="53408"/>
  <c r="D253" i="53409"/>
  <c r="B253" i="53409"/>
  <c r="A254" i="53409"/>
  <c r="C254" i="53409" s="1"/>
  <c r="D254" i="53408" l="1"/>
  <c r="B254" i="53408"/>
  <c r="A255" i="53408"/>
  <c r="C255" i="53408" s="1"/>
  <c r="D254" i="53409"/>
  <c r="A255" i="53409"/>
  <c r="C255" i="53409" s="1"/>
  <c r="B254" i="53409"/>
  <c r="D255" i="53408" l="1"/>
  <c r="B255" i="53408"/>
  <c r="A256" i="53408"/>
  <c r="C256" i="53408" s="1"/>
  <c r="D255" i="53409"/>
  <c r="B255" i="53409"/>
  <c r="A256" i="53409"/>
  <c r="C256" i="53409" s="1"/>
  <c r="D256" i="53408" l="1"/>
  <c r="A257" i="53408"/>
  <c r="C257" i="53408" s="1"/>
  <c r="B256" i="53408"/>
  <c r="D256" i="53409"/>
  <c r="B256" i="53409"/>
  <c r="A257" i="53409"/>
  <c r="C257" i="53409" s="1"/>
  <c r="D257" i="53408" l="1"/>
  <c r="A258" i="53408"/>
  <c r="C258" i="53408" s="1"/>
  <c r="B257" i="53408"/>
  <c r="D257" i="53409"/>
  <c r="B257" i="53409"/>
  <c r="A258" i="53409"/>
  <c r="C258" i="53409" s="1"/>
  <c r="D258" i="53408" l="1"/>
  <c r="B258" i="53408"/>
  <c r="A259" i="53408"/>
  <c r="C259" i="53408" s="1"/>
  <c r="D258" i="53409"/>
  <c r="A259" i="53409"/>
  <c r="C259" i="53409" s="1"/>
  <c r="B258" i="53409"/>
  <c r="D259" i="53408" l="1"/>
  <c r="B259" i="53408"/>
  <c r="A260" i="53408"/>
  <c r="C260" i="53408" s="1"/>
  <c r="D259" i="53409"/>
  <c r="B259" i="53409"/>
  <c r="A260" i="53409"/>
  <c r="C260" i="53409" s="1"/>
  <c r="D260" i="53408" l="1"/>
  <c r="B260" i="53408"/>
  <c r="A261" i="53408"/>
  <c r="C261" i="53408" s="1"/>
  <c r="D260" i="53409"/>
  <c r="A261" i="53409"/>
  <c r="C261" i="53409" s="1"/>
  <c r="B260" i="53409"/>
  <c r="D261" i="53408" l="1"/>
  <c r="B261" i="53408"/>
  <c r="A262" i="53408"/>
  <c r="C262" i="53408" s="1"/>
  <c r="D261" i="53409"/>
  <c r="B261" i="53409"/>
  <c r="A262" i="53409"/>
  <c r="C262" i="53409" s="1"/>
  <c r="D262" i="53408" l="1"/>
  <c r="A263" i="53408"/>
  <c r="C263" i="53408" s="1"/>
  <c r="B262" i="53408"/>
  <c r="D262" i="53409"/>
  <c r="A263" i="53409"/>
  <c r="C263" i="53409" s="1"/>
  <c r="B262" i="53409"/>
  <c r="D263" i="53408" l="1"/>
  <c r="B263" i="53408"/>
  <c r="A264" i="53408"/>
  <c r="C264" i="53408" s="1"/>
  <c r="D263" i="53409"/>
  <c r="B263" i="53409"/>
  <c r="A264" i="53409"/>
  <c r="C264" i="53409" s="1"/>
  <c r="D264" i="53408" l="1"/>
  <c r="B264" i="53408"/>
  <c r="A265" i="53408"/>
  <c r="C265" i="53408" s="1"/>
  <c r="D264" i="53409"/>
  <c r="B264" i="53409"/>
  <c r="A265" i="53409"/>
  <c r="C265" i="53409" s="1"/>
  <c r="D265" i="53408" l="1"/>
  <c r="B265" i="53408"/>
  <c r="A266" i="53408"/>
  <c r="C266" i="53408" s="1"/>
  <c r="D265" i="53409"/>
  <c r="B265" i="53409"/>
  <c r="A266" i="53409"/>
  <c r="C266" i="53409" s="1"/>
  <c r="D266" i="53408" l="1"/>
  <c r="A267" i="53408"/>
  <c r="C267" i="53408" s="1"/>
  <c r="B266" i="53408"/>
  <c r="D266" i="53409"/>
  <c r="A267" i="53409"/>
  <c r="C267" i="53409" s="1"/>
  <c r="B266" i="53409"/>
  <c r="D267" i="53408" l="1"/>
  <c r="A268" i="53408"/>
  <c r="C268" i="53408" s="1"/>
  <c r="B267" i="53408"/>
  <c r="D267" i="53409"/>
  <c r="B267" i="53409"/>
  <c r="A268" i="53409"/>
  <c r="C268" i="53409" s="1"/>
  <c r="D268" i="53408" l="1"/>
  <c r="B268" i="53408"/>
  <c r="A269" i="53408"/>
  <c r="C269" i="53408" s="1"/>
  <c r="D268" i="53409"/>
  <c r="A269" i="53409"/>
  <c r="C269" i="53409" s="1"/>
  <c r="B268" i="53409"/>
  <c r="D269" i="53408" l="1"/>
  <c r="A270" i="53408"/>
  <c r="C270" i="53408" s="1"/>
  <c r="B269" i="53408"/>
  <c r="D269" i="53409"/>
  <c r="B269" i="53409"/>
  <c r="A270" i="53409"/>
  <c r="C270" i="53409" s="1"/>
  <c r="D270" i="53408" l="1"/>
  <c r="A271" i="53408"/>
  <c r="C271" i="53408" s="1"/>
  <c r="B270" i="53408"/>
  <c r="D270" i="53409"/>
  <c r="A271" i="53409"/>
  <c r="C271" i="53409" s="1"/>
  <c r="B270" i="53409"/>
  <c r="D271" i="53408" l="1"/>
  <c r="B271" i="53408"/>
  <c r="A272" i="53408"/>
  <c r="C272" i="53408" s="1"/>
  <c r="D271" i="53409"/>
  <c r="B271" i="53409"/>
  <c r="A272" i="53409"/>
  <c r="C272" i="53409" s="1"/>
  <c r="D272" i="53408" l="1"/>
  <c r="A273" i="53408"/>
  <c r="C273" i="53408" s="1"/>
  <c r="B272" i="53408"/>
  <c r="D272" i="53409"/>
  <c r="B272" i="53409"/>
  <c r="A273" i="53409"/>
  <c r="C273" i="53409" s="1"/>
  <c r="D273" i="53408" l="1"/>
  <c r="B273" i="53408"/>
  <c r="A274" i="53408"/>
  <c r="C274" i="53408" s="1"/>
  <c r="D273" i="53409"/>
  <c r="B273" i="53409"/>
  <c r="A274" i="53409"/>
  <c r="C274" i="53409" s="1"/>
  <c r="D274" i="53408" l="1"/>
  <c r="A275" i="53408"/>
  <c r="C275" i="53408" s="1"/>
  <c r="B274" i="53408"/>
  <c r="D274" i="53409"/>
  <c r="A275" i="53409"/>
  <c r="C275" i="53409" s="1"/>
  <c r="B274" i="53409"/>
  <c r="D275" i="53408" l="1"/>
  <c r="A276" i="53408"/>
  <c r="C276" i="53408" s="1"/>
  <c r="B275" i="53408"/>
  <c r="D275" i="53409"/>
  <c r="B275" i="53409"/>
  <c r="A276" i="53409"/>
  <c r="C276" i="53409" s="1"/>
  <c r="D276" i="53408" l="1"/>
  <c r="B276" i="53408"/>
  <c r="A277" i="53408"/>
  <c r="C277" i="53408" s="1"/>
  <c r="D276" i="53409"/>
  <c r="A277" i="53409"/>
  <c r="C277" i="53409" s="1"/>
  <c r="B276" i="53409"/>
  <c r="D277" i="53408" l="1"/>
  <c r="A278" i="53408"/>
  <c r="C278" i="53408" s="1"/>
  <c r="B277" i="53408"/>
  <c r="D277" i="53409"/>
  <c r="B277" i="53409"/>
  <c r="A278" i="53409"/>
  <c r="C278" i="53409" s="1"/>
  <c r="D278" i="53408" l="1"/>
  <c r="B278" i="53408"/>
  <c r="A279" i="53408"/>
  <c r="C279" i="53408" s="1"/>
  <c r="D278" i="53409"/>
  <c r="A279" i="53409"/>
  <c r="C279" i="53409" s="1"/>
  <c r="B278" i="53409"/>
  <c r="D279" i="53408" l="1"/>
  <c r="A280" i="53408"/>
  <c r="C280" i="53408" s="1"/>
  <c r="B279" i="53408"/>
  <c r="D279" i="53409"/>
  <c r="B279" i="53409"/>
  <c r="A280" i="53409"/>
  <c r="C280" i="53409" s="1"/>
  <c r="D280" i="53408" l="1"/>
  <c r="B280" i="53408"/>
  <c r="A281" i="53408"/>
  <c r="C281" i="53408" s="1"/>
  <c r="D280" i="53409"/>
  <c r="B280" i="53409"/>
  <c r="A281" i="53409"/>
  <c r="C281" i="53409" s="1"/>
  <c r="D281" i="53408" l="1"/>
  <c r="B281" i="53408"/>
  <c r="A282" i="53408"/>
  <c r="C282" i="53408" s="1"/>
  <c r="D281" i="53409"/>
  <c r="B281" i="53409"/>
  <c r="A282" i="53409"/>
  <c r="C282" i="53409" s="1"/>
  <c r="D282" i="53408" l="1"/>
  <c r="A283" i="53408"/>
  <c r="C283" i="53408" s="1"/>
  <c r="B282" i="53408"/>
  <c r="D282" i="53409"/>
  <c r="A283" i="53409"/>
  <c r="C283" i="53409" s="1"/>
  <c r="B282" i="53409"/>
  <c r="D283" i="53408" l="1"/>
  <c r="A284" i="53408"/>
  <c r="C284" i="53408" s="1"/>
  <c r="B283" i="53408"/>
  <c r="D283" i="53409"/>
  <c r="B283" i="53409"/>
  <c r="A284" i="53409"/>
  <c r="C284" i="53409" s="1"/>
  <c r="D284" i="53408" l="1"/>
  <c r="A285" i="53408"/>
  <c r="C285" i="53408" s="1"/>
  <c r="B284" i="53408"/>
  <c r="D284" i="53409"/>
  <c r="A285" i="53409"/>
  <c r="C285" i="53409" s="1"/>
  <c r="B284" i="53409"/>
  <c r="D285" i="53408" l="1"/>
  <c r="A286" i="53408"/>
  <c r="C286" i="53408" s="1"/>
  <c r="B285" i="53408"/>
  <c r="D285" i="53409"/>
  <c r="B285" i="53409"/>
  <c r="A286" i="53409"/>
  <c r="C286" i="53409" s="1"/>
  <c r="D286" i="53408" l="1"/>
  <c r="B286" i="53408"/>
  <c r="A287" i="53408"/>
  <c r="C287" i="53408" s="1"/>
  <c r="D286" i="53409"/>
  <c r="A287" i="53409"/>
  <c r="C287" i="53409" s="1"/>
  <c r="B286" i="53409"/>
  <c r="D287" i="53408" l="1"/>
  <c r="B287" i="53408"/>
  <c r="A288" i="53408"/>
  <c r="C288" i="53408" s="1"/>
  <c r="D287" i="53409"/>
  <c r="B287" i="53409"/>
  <c r="A288" i="53409"/>
  <c r="C288" i="53409" s="1"/>
  <c r="D288" i="53408" l="1"/>
  <c r="B288" i="53408"/>
  <c r="A289" i="53408"/>
  <c r="C289" i="53408" s="1"/>
  <c r="D288" i="53409"/>
  <c r="B288" i="53409"/>
  <c r="A289" i="53409"/>
  <c r="C289" i="53409" s="1"/>
  <c r="D289" i="53408" l="1"/>
  <c r="A290" i="53408"/>
  <c r="C290" i="53408" s="1"/>
  <c r="B289" i="53408"/>
  <c r="D289" i="53409"/>
  <c r="B289" i="53409"/>
  <c r="A290" i="53409"/>
  <c r="C290" i="53409" s="1"/>
  <c r="D290" i="53408" l="1"/>
  <c r="B290" i="53408"/>
  <c r="A291" i="53408"/>
  <c r="C291" i="53408" s="1"/>
  <c r="D290" i="53409"/>
  <c r="A291" i="53409"/>
  <c r="C291" i="53409" s="1"/>
  <c r="B290" i="53409"/>
  <c r="D291" i="53408" l="1"/>
  <c r="A292" i="53408"/>
  <c r="C292" i="53408" s="1"/>
  <c r="B291" i="53408"/>
  <c r="D291" i="53409"/>
  <c r="B291" i="53409"/>
  <c r="A292" i="53409"/>
  <c r="C292" i="53409" s="1"/>
  <c r="D292" i="53408" l="1"/>
  <c r="A293" i="53408"/>
  <c r="C293" i="53408" s="1"/>
  <c r="B292" i="53408"/>
  <c r="D292" i="53409"/>
  <c r="A293" i="53409"/>
  <c r="C293" i="53409" s="1"/>
  <c r="B292" i="53409"/>
  <c r="D293" i="53408" l="1"/>
  <c r="B293" i="53408"/>
  <c r="A294" i="53408"/>
  <c r="C294" i="53408" s="1"/>
  <c r="D293" i="53409"/>
  <c r="B293" i="53409"/>
  <c r="A294" i="53409"/>
  <c r="C294" i="53409" s="1"/>
  <c r="D294" i="53408" l="1"/>
  <c r="B294" i="53408"/>
  <c r="A295" i="53408"/>
  <c r="C295" i="53408" s="1"/>
  <c r="D294" i="53409"/>
  <c r="A295" i="53409"/>
  <c r="C295" i="53409" s="1"/>
  <c r="B294" i="53409"/>
  <c r="D295" i="53408" l="1"/>
  <c r="A296" i="53408"/>
  <c r="C296" i="53408" s="1"/>
  <c r="B295" i="53408"/>
  <c r="D295" i="53409"/>
  <c r="B295" i="53409"/>
  <c r="A296" i="53409"/>
  <c r="C296" i="53409" s="1"/>
  <c r="D296" i="53408" l="1"/>
  <c r="B296" i="53408"/>
  <c r="D296" i="53409"/>
  <c r="B296" i="53409"/>
</calcChain>
</file>

<file path=xl/sharedStrings.xml><?xml version="1.0" encoding="utf-8"?>
<sst xmlns="http://schemas.openxmlformats.org/spreadsheetml/2006/main" count="336" uniqueCount="119">
  <si>
    <t>MOTHER'S DATA</t>
  </si>
  <si>
    <t>BABY'S DATA</t>
  </si>
  <si>
    <t>DOSE DATA</t>
  </si>
  <si>
    <t>years</t>
  </si>
  <si>
    <t>kg</t>
  </si>
  <si>
    <t>time</t>
  </si>
  <si>
    <t>ppm</t>
  </si>
  <si>
    <t>ppm calc</t>
  </si>
  <si>
    <t xml:space="preserve">sum = </t>
  </si>
  <si>
    <t>KINETIC DATA</t>
  </si>
  <si>
    <t xml:space="preserve">k(mm) = </t>
  </si>
  <si>
    <t>Total error</t>
  </si>
  <si>
    <t xml:space="preserve">F(bm) = </t>
  </si>
  <si>
    <t xml:space="preserve">k(bm) = </t>
  </si>
  <si>
    <t>Time</t>
  </si>
  <si>
    <t>Mother</t>
  </si>
  <si>
    <t>Baby BW</t>
  </si>
  <si>
    <t>Baby</t>
  </si>
  <si>
    <t xml:space="preserve">F(bb) = </t>
  </si>
  <si>
    <t>Water input from milk (Fm)</t>
  </si>
  <si>
    <t>Total water output (Fob)</t>
  </si>
  <si>
    <t>Non-milk oral intake (Fs)</t>
  </si>
  <si>
    <t>Water used in growth (Fg)</t>
  </si>
  <si>
    <t xml:space="preserve"> </t>
  </si>
  <si>
    <t>mean</t>
  </si>
  <si>
    <t xml:space="preserve">(1) Data for mothers saliva </t>
  </si>
  <si>
    <t xml:space="preserve">(2) Data for baby's saliva </t>
  </si>
  <si>
    <t>Date</t>
  </si>
  <si>
    <t>time since</t>
  </si>
  <si>
    <t xml:space="preserve"> dose (days)</t>
  </si>
  <si>
    <t>(mg/kg)</t>
  </si>
  <si>
    <t>months</t>
  </si>
  <si>
    <t>Date of Birth</t>
  </si>
  <si>
    <t>Human milk intake (M)</t>
  </si>
  <si>
    <t>MOTHER'S BODY COMPOSITION</t>
  </si>
  <si>
    <t>SD</t>
  </si>
  <si>
    <t>CV (%)</t>
  </si>
  <si>
    <t>Non-oral water intake (Fa)</t>
  </si>
  <si>
    <t xml:space="preserve">Em(0) = </t>
  </si>
  <si>
    <r>
      <t>kg.day</t>
    </r>
    <r>
      <rPr>
        <vertAlign val="superscript"/>
        <sz val="10"/>
        <rFont val="Arial"/>
        <family val="2"/>
      </rPr>
      <t>-1</t>
    </r>
  </si>
  <si>
    <r>
      <t>day</t>
    </r>
    <r>
      <rPr>
        <vertAlign val="superscript"/>
        <sz val="10"/>
        <rFont val="Arial"/>
        <family val="2"/>
      </rPr>
      <t>-1</t>
    </r>
  </si>
  <si>
    <t>mean sq error</t>
  </si>
  <si>
    <t>MSE</t>
  </si>
  <si>
    <t>Square root MSE (mg/kg)</t>
  </si>
  <si>
    <t>Participant Study ID</t>
  </si>
  <si>
    <t>Date dose taken by mother</t>
  </si>
  <si>
    <t>Time dose taken by mother</t>
  </si>
  <si>
    <t xml:space="preserve"> Bottle number</t>
  </si>
  <si>
    <r>
      <t xml:space="preserve"> Weight D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 (g) in bottle</t>
    </r>
  </si>
  <si>
    <t>1) Rename spreadsheet: Human milk calcs "Study ID"</t>
  </si>
  <si>
    <r>
      <t>D space (V</t>
    </r>
    <r>
      <rPr>
        <vertAlign val="subscript"/>
        <sz val="10"/>
        <rFont val="Arial"/>
        <family val="2"/>
      </rPr>
      <t>m</t>
    </r>
    <r>
      <rPr>
        <sz val="10"/>
        <rFont val="Arial"/>
        <family val="2"/>
      </rPr>
      <t>), kg</t>
    </r>
  </si>
  <si>
    <t>TBW, kg</t>
  </si>
  <si>
    <t>Fat-Free Mass, kg</t>
  </si>
  <si>
    <t>Body fat, kg</t>
  </si>
  <si>
    <t>Fat, %</t>
  </si>
  <si>
    <t>40-65%</t>
  </si>
  <si>
    <t>DO NOT CUT AND PASTE DATA: IT CORRUPTS THE FORMULAE. COPY AND PASTE MAY BE USED FOR DATES</t>
  </si>
  <si>
    <t>6) The Solver parameters window opens, click on "Solve"</t>
  </si>
  <si>
    <t>(kg)</t>
  </si>
  <si>
    <r>
      <t>g.day</t>
    </r>
    <r>
      <rPr>
        <vertAlign val="superscript"/>
        <sz val="10"/>
        <rFont val="Arial"/>
        <family val="2"/>
      </rPr>
      <t>-1</t>
    </r>
  </si>
  <si>
    <t>2) Enter data in cells with green background</t>
  </si>
  <si>
    <t xml:space="preserve">3) If SOLVER is not already installed on your computer, click on the  FILE tab, then on OPTIONS, ADD-INS. </t>
  </si>
  <si>
    <t xml:space="preserve">   At the bottom of the page is "Manage" with EXCEL ADD-INS on a pull down menu. Click GO. Select SOLVER ADD-IN, then OK.</t>
  </si>
  <si>
    <t>5) Click on the DATA tab, SOLVER should be there. Click on SOLVER.</t>
  </si>
  <si>
    <t>3) Enter date (day/month/year) and time (hr:min) the dose was taken by the mother in cells B26 and B27</t>
  </si>
  <si>
    <t>Baby Total Body Water</t>
  </si>
  <si>
    <t xml:space="preserve">Instructions for use with Office 2010 </t>
  </si>
  <si>
    <t>Drinking water</t>
  </si>
  <si>
    <t>g</t>
  </si>
  <si>
    <t>mg/kg</t>
  </si>
  <si>
    <t>Working standard</t>
  </si>
  <si>
    <t>Calculated enrichment</t>
  </si>
  <si>
    <t>Height</t>
  </si>
  <si>
    <t>cm</t>
  </si>
  <si>
    <t>Weight</t>
  </si>
  <si>
    <t>Age</t>
  </si>
  <si>
    <t>%</t>
  </si>
  <si>
    <t>% total water intake</t>
  </si>
  <si>
    <t>FM/FFM</t>
  </si>
  <si>
    <t>Smoothed Plot</t>
  </si>
  <si>
    <t>Deuterium abundance</t>
  </si>
  <si>
    <t xml:space="preserve">Deuterium </t>
  </si>
  <si>
    <t>enrichment</t>
  </si>
  <si>
    <t>ppm xs</t>
  </si>
  <si>
    <t>55-90%</t>
  </si>
  <si>
    <t>10-45%</t>
  </si>
  <si>
    <t>normal range</t>
  </si>
  <si>
    <t>Enrichment</t>
  </si>
  <si>
    <t>Initial</t>
  </si>
  <si>
    <t>Final</t>
  </si>
  <si>
    <t>Sex</t>
  </si>
  <si>
    <t>Starting weight</t>
  </si>
  <si>
    <t>Final weight</t>
  </si>
  <si>
    <t>True/measured enrichment</t>
  </si>
  <si>
    <r>
      <t>= (W.A/a*</t>
    </r>
    <r>
      <rPr>
        <sz val="10"/>
        <color rgb="FFFF0000"/>
        <rFont val="Symbol"/>
        <family val="1"/>
        <charset val="2"/>
      </rPr>
      <t>D</t>
    </r>
    <r>
      <rPr>
        <sz val="10"/>
        <color rgb="FFFF0000"/>
        <rFont val="MS Sans Serif"/>
        <family val="2"/>
      </rPr>
      <t>DD/1000)/</t>
    </r>
    <r>
      <rPr>
        <sz val="10"/>
        <color rgb="FFFF0000"/>
        <rFont val="Symbol"/>
        <family val="1"/>
        <charset val="2"/>
      </rPr>
      <t>D</t>
    </r>
    <r>
      <rPr>
        <sz val="10"/>
        <color rgb="FFFF0000"/>
        <rFont val="MS Sans Serif"/>
        <family val="2"/>
      </rPr>
      <t>BW</t>
    </r>
  </si>
  <si>
    <t>% body weight</t>
  </si>
  <si>
    <t>Mean             SD</t>
  </si>
  <si>
    <r>
      <t>mg.kg</t>
    </r>
    <r>
      <rPr>
        <vertAlign val="superscript"/>
        <sz val="10"/>
        <rFont val="Arial"/>
        <family val="2"/>
      </rPr>
      <t>-1</t>
    </r>
  </si>
  <si>
    <r>
      <t>BMI, kg/m</t>
    </r>
    <r>
      <rPr>
        <vertAlign val="superscript"/>
        <sz val="10"/>
        <rFont val="Arial"/>
        <family val="2"/>
      </rPr>
      <t>2</t>
    </r>
  </si>
  <si>
    <r>
      <t>FFMI, kg/m</t>
    </r>
    <r>
      <rPr>
        <vertAlign val="superscript"/>
        <sz val="10"/>
        <rFont val="Arial"/>
        <family val="2"/>
      </rPr>
      <t>2</t>
    </r>
  </si>
  <si>
    <r>
      <t>FMI, kg/m</t>
    </r>
    <r>
      <rPr>
        <vertAlign val="superscript"/>
        <sz val="10"/>
        <rFont val="Arial"/>
        <family val="2"/>
      </rPr>
      <t>2</t>
    </r>
  </si>
  <si>
    <r>
      <t>Mother's water intake, kg.d</t>
    </r>
    <r>
      <rPr>
        <vertAlign val="superscript"/>
        <sz val="10"/>
        <rFont val="Arial"/>
        <family val="2"/>
      </rPr>
      <t>-1</t>
    </r>
  </si>
  <si>
    <t>Breast milk water % total water intake</t>
  </si>
  <si>
    <r>
      <t>Weight D</t>
    </r>
    <r>
      <rPr>
        <vertAlign val="subscript"/>
        <sz val="10"/>
        <rFont val="MS Sans Serif"/>
        <family val="2"/>
      </rPr>
      <t>2</t>
    </r>
    <r>
      <rPr>
        <sz val="10"/>
        <rFont val="MS Sans Serif"/>
        <family val="2"/>
      </rPr>
      <t>O</t>
    </r>
  </si>
  <si>
    <r>
      <t>Drinking water + D</t>
    </r>
    <r>
      <rPr>
        <vertAlign val="subscript"/>
        <sz val="10"/>
        <rFont val="MS Sans Serif"/>
        <family val="2"/>
      </rPr>
      <t>2</t>
    </r>
    <r>
      <rPr>
        <sz val="10"/>
        <rFont val="MS Sans Serif"/>
        <family val="2"/>
      </rPr>
      <t>O</t>
    </r>
  </si>
  <si>
    <r>
      <t>Dilution factor (W.A/a*</t>
    </r>
    <r>
      <rPr>
        <sz val="10"/>
        <rFont val="Symbol"/>
        <family val="1"/>
        <charset val="2"/>
      </rPr>
      <t>D</t>
    </r>
    <r>
      <rPr>
        <sz val="10"/>
        <rFont val="MS Sans Serif"/>
        <family val="2"/>
      </rPr>
      <t>DD/1000)</t>
    </r>
  </si>
  <si>
    <t>4) Go to cell K64 (the Target Cell)</t>
  </si>
  <si>
    <t xml:space="preserve"> This will determine the constants in cells F59:F62 which give the line of best fit to the mother's and baby's data</t>
  </si>
  <si>
    <t xml:space="preserve">7) The main outputs are human milk intake (K59) and intake of water from sources other than human milk (K3) </t>
  </si>
  <si>
    <t>8) The mother's body composition is in cells B61:B63</t>
  </si>
  <si>
    <t>FTIR working standard (update weights when a new standard has been created)</t>
  </si>
  <si>
    <t>Template</t>
  </si>
  <si>
    <t>THIS SPREADSHEET IS FOR USE WITH DATA ONLY</t>
  </si>
  <si>
    <t>M</t>
  </si>
  <si>
    <t>F</t>
  </si>
  <si>
    <t xml:space="preserve">7) The main outputs are human milk intake (K58) and intake of water from sources other than human milk (K63) </t>
  </si>
  <si>
    <t>Marieke AJ De Sévaux et al.</t>
  </si>
  <si>
    <t xml:space="preserve">Supplementary material to: </t>
  </si>
  <si>
    <t>Predicting Total Body Water in Infants Aged 0.5 - 24 Months and the Implications for Measuring Breast Milk Intake: A Secondary Analysis of Isotope Dilution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</si>
</sst>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0">
    <font>
      <sz val="9"/>
      <name val="Geneva"/>
    </font>
    <font>
      <sz val="10"/>
      <name val="MS Sans Serif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i/>
      <sz val="10"/>
      <name val="Arial"/>
      <family val="2"/>
    </font>
    <font>
      <b/>
      <sz val="9"/>
      <name val="Arial"/>
      <family val="2"/>
    </font>
    <font>
      <vertAlign val="subscript"/>
      <sz val="10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  <font>
      <sz val="10"/>
      <color indexed="10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0"/>
      <name val="MS Sans Serif"/>
      <family val="2"/>
    </font>
    <font>
      <b/>
      <sz val="9"/>
      <color indexed="10"/>
      <name val="Geneva"/>
      <family val="2"/>
    </font>
    <font>
      <sz val="9"/>
      <color indexed="8"/>
      <name val="Geneva"/>
      <family val="2"/>
    </font>
    <font>
      <sz val="10"/>
      <name val="Geneva"/>
      <family val="2"/>
    </font>
    <font>
      <b/>
      <sz val="10"/>
      <color rgb="FFFF0000"/>
      <name val="MS Sans Serif"/>
      <family val="2"/>
    </font>
    <font>
      <sz val="10"/>
      <color rgb="FFFF0000"/>
      <name val="MS Sans Serif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FF0000"/>
      <name val="Symbol"/>
      <family val="1"/>
      <charset val="2"/>
    </font>
    <font>
      <sz val="12"/>
      <name val="Arial"/>
      <family val="2"/>
    </font>
    <font>
      <vertAlign val="subscript"/>
      <sz val="10"/>
      <name val="MS Sans Serif"/>
      <family val="2"/>
    </font>
    <font>
      <sz val="10"/>
      <name val="Symbol"/>
      <family val="1"/>
      <charset val="2"/>
    </font>
    <font>
      <sz val="12"/>
      <color theme="3"/>
      <name val="Arial"/>
      <family val="2"/>
    </font>
    <font>
      <sz val="10"/>
      <color theme="3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10">
    <border>
      <left/>
      <right/>
      <top/>
      <bottom/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2" fontId="1" fillId="0" borderId="0" xfId="1" applyNumberFormat="1" applyAlignment="1">
      <alignment horizontal="center"/>
    </xf>
    <xf numFmtId="0" fontId="1" fillId="0" borderId="0" xfId="1"/>
    <xf numFmtId="2" fontId="1" fillId="0" borderId="0" xfId="1" applyNumberFormat="1" applyAlignment="1">
      <alignment horizontal="left"/>
    </xf>
    <xf numFmtId="0" fontId="2" fillId="0" borderId="0" xfId="1" applyFont="1" applyAlignment="1">
      <alignment horizontal="center"/>
    </xf>
    <xf numFmtId="2" fontId="2" fillId="0" borderId="0" xfId="1" applyNumberFormat="1" applyFont="1" applyAlignment="1">
      <alignment horizontal="center"/>
    </xf>
    <xf numFmtId="0" fontId="4" fillId="0" borderId="0" xfId="0" applyFont="1"/>
    <xf numFmtId="0" fontId="2" fillId="0" borderId="0" xfId="1" applyFont="1"/>
    <xf numFmtId="0" fontId="5" fillId="0" borderId="0" xfId="1" applyFont="1"/>
    <xf numFmtId="2" fontId="3" fillId="0" borderId="0" xfId="1" applyNumberFormat="1" applyFont="1" applyAlignment="1">
      <alignment horizontal="left"/>
    </xf>
    <xf numFmtId="2" fontId="2" fillId="0" borderId="0" xfId="1" applyNumberFormat="1" applyFont="1" applyAlignment="1">
      <alignment horizontal="left"/>
    </xf>
    <xf numFmtId="15" fontId="6" fillId="2" borderId="0" xfId="0" applyNumberFormat="1" applyFont="1" applyFill="1" applyAlignment="1" applyProtection="1">
      <alignment horizontal="right"/>
      <protection locked="0"/>
    </xf>
    <xf numFmtId="2" fontId="2" fillId="0" borderId="0" xfId="1" applyNumberFormat="1" applyFont="1" applyAlignment="1">
      <alignment horizontal="right"/>
    </xf>
    <xf numFmtId="0" fontId="2" fillId="0" borderId="0" xfId="0" applyFont="1"/>
    <xf numFmtId="165" fontId="2" fillId="0" borderId="0" xfId="0" applyNumberFormat="1" applyFont="1"/>
    <xf numFmtId="0" fontId="2" fillId="0" borderId="0" xfId="1" applyFont="1" applyAlignment="1">
      <alignment horizontal="left"/>
    </xf>
    <xf numFmtId="2" fontId="8" fillId="0" borderId="0" xfId="1" applyNumberFormat="1" applyFont="1" applyAlignment="1">
      <alignment horizontal="left"/>
    </xf>
    <xf numFmtId="2" fontId="3" fillId="0" borderId="0" xfId="1" applyNumberFormat="1" applyFont="1" applyAlignment="1">
      <alignment horizontal="center"/>
    </xf>
    <xf numFmtId="165" fontId="2" fillId="0" borderId="0" xfId="1" applyNumberFormat="1" applyFont="1" applyAlignment="1">
      <alignment horizontal="center"/>
    </xf>
    <xf numFmtId="20" fontId="3" fillId="2" borderId="0" xfId="0" applyNumberFormat="1" applyFont="1" applyFill="1" applyAlignment="1" applyProtection="1">
      <alignment horizontal="right"/>
      <protection locked="0"/>
    </xf>
    <xf numFmtId="1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/>
    </xf>
    <xf numFmtId="2" fontId="3" fillId="0" borderId="0" xfId="0" applyNumberFormat="1" applyFont="1" applyAlignment="1">
      <alignment horizontal="center"/>
    </xf>
    <xf numFmtId="164" fontId="2" fillId="3" borderId="0" xfId="1" applyNumberFormat="1" applyFont="1" applyFill="1" applyAlignment="1">
      <alignment horizontal="center"/>
    </xf>
    <xf numFmtId="2" fontId="10" fillId="0" borderId="1" xfId="1" applyNumberFormat="1" applyFont="1" applyBorder="1" applyAlignment="1">
      <alignment horizontal="center"/>
    </xf>
    <xf numFmtId="2" fontId="3" fillId="2" borderId="0" xfId="0" applyNumberFormat="1" applyFont="1" applyFill="1" applyAlignment="1" applyProtection="1">
      <alignment horizontal="center"/>
      <protection locked="0"/>
    </xf>
    <xf numFmtId="2" fontId="2" fillId="2" borderId="0" xfId="1" applyNumberFormat="1" applyFont="1" applyFill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center"/>
      <protection locked="0"/>
    </xf>
    <xf numFmtId="15" fontId="11" fillId="2" borderId="0" xfId="0" applyNumberFormat="1" applyFont="1" applyFill="1" applyAlignment="1" applyProtection="1">
      <alignment horizontal="center"/>
      <protection locked="0"/>
    </xf>
    <xf numFmtId="20" fontId="12" fillId="2" borderId="0" xfId="0" applyNumberFormat="1" applyFont="1" applyFill="1" applyAlignment="1" applyProtection="1">
      <alignment horizontal="center"/>
      <protection locked="0"/>
    </xf>
    <xf numFmtId="2" fontId="4" fillId="0" borderId="0" xfId="0" applyNumberFormat="1" applyFont="1" applyAlignment="1">
      <alignment horizontal="center"/>
    </xf>
    <xf numFmtId="1" fontId="14" fillId="2" borderId="0" xfId="1" applyNumberFormat="1" applyFont="1" applyFill="1" applyAlignment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2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165" fontId="2" fillId="4" borderId="0" xfId="1" applyNumberFormat="1" applyFont="1" applyFill="1" applyAlignment="1">
      <alignment horizontal="center"/>
    </xf>
    <xf numFmtId="2" fontId="2" fillId="5" borderId="0" xfId="1" applyNumberFormat="1" applyFont="1" applyFill="1" applyAlignment="1">
      <alignment horizontal="center"/>
    </xf>
    <xf numFmtId="2" fontId="19" fillId="0" borderId="0" xfId="1" applyNumberFormat="1" applyFont="1" applyAlignment="1">
      <alignment horizontal="center"/>
    </xf>
    <xf numFmtId="2" fontId="19" fillId="0" borderId="0" xfId="1" applyNumberFormat="1" applyFont="1" applyAlignment="1">
      <alignment horizontal="left"/>
    </xf>
    <xf numFmtId="2" fontId="21" fillId="0" borderId="0" xfId="1" applyNumberFormat="1" applyFont="1" applyAlignment="1">
      <alignment horizontal="left"/>
    </xf>
    <xf numFmtId="2" fontId="21" fillId="0" borderId="0" xfId="1" applyNumberFormat="1" applyFont="1" applyAlignment="1">
      <alignment horizontal="center"/>
    </xf>
    <xf numFmtId="165" fontId="3" fillId="2" borderId="0" xfId="0" applyNumberFormat="1" applyFont="1" applyFill="1" applyAlignment="1" applyProtection="1">
      <alignment horizontal="center"/>
      <protection locked="0"/>
    </xf>
    <xf numFmtId="165" fontId="3" fillId="2" borderId="0" xfId="0" applyNumberFormat="1" applyFont="1" applyFill="1" applyAlignment="1">
      <alignment horizontal="center"/>
    </xf>
    <xf numFmtId="2" fontId="18" fillId="0" borderId="0" xfId="1" quotePrefix="1" applyNumberFormat="1" applyFont="1"/>
    <xf numFmtId="165" fontId="20" fillId="0" borderId="0" xfId="1" quotePrefix="1" applyNumberFormat="1" applyFont="1" applyAlignment="1">
      <alignment horizontal="left"/>
    </xf>
    <xf numFmtId="2" fontId="19" fillId="0" borderId="0" xfId="1" applyNumberFormat="1" applyFont="1"/>
    <xf numFmtId="2" fontId="23" fillId="0" borderId="0" xfId="1" applyNumberFormat="1" applyFont="1" applyAlignment="1">
      <alignment horizontal="left"/>
    </xf>
    <xf numFmtId="2" fontId="23" fillId="0" borderId="0" xfId="1" applyNumberFormat="1" applyFont="1" applyAlignment="1">
      <alignment horizontal="center"/>
    </xf>
    <xf numFmtId="0" fontId="23" fillId="0" borderId="0" xfId="1" applyFont="1"/>
    <xf numFmtId="2" fontId="19" fillId="0" borderId="0" xfId="1" quotePrefix="1" applyNumberFormat="1" applyFont="1" applyAlignment="1">
      <alignment horizontal="left"/>
    </xf>
    <xf numFmtId="0" fontId="20" fillId="0" borderId="0" xfId="1" applyFont="1" applyAlignment="1">
      <alignment horizontal="left"/>
    </xf>
    <xf numFmtId="15" fontId="6" fillId="6" borderId="0" xfId="0" applyNumberFormat="1" applyFont="1" applyFill="1" applyAlignment="1">
      <alignment horizontal="right"/>
    </xf>
    <xf numFmtId="20" fontId="3" fillId="6" borderId="0" xfId="0" applyNumberFormat="1" applyFont="1" applyFill="1" applyAlignment="1">
      <alignment horizontal="right"/>
    </xf>
    <xf numFmtId="0" fontId="2" fillId="0" borderId="0" xfId="1" applyFont="1" applyAlignment="1">
      <alignment horizontal="right"/>
    </xf>
    <xf numFmtId="2" fontId="14" fillId="0" borderId="0" xfId="1" applyNumberFormat="1" applyFont="1" applyAlignment="1">
      <alignment horizontal="left"/>
    </xf>
    <xf numFmtId="164" fontId="3" fillId="2" borderId="0" xfId="0" applyNumberFormat="1" applyFont="1" applyFill="1" applyAlignment="1" applyProtection="1">
      <alignment horizontal="center"/>
      <protection locked="0"/>
    </xf>
    <xf numFmtId="165" fontId="1" fillId="0" borderId="0" xfId="1" applyNumberFormat="1" applyAlignment="1">
      <alignment horizontal="center"/>
    </xf>
    <xf numFmtId="164" fontId="1" fillId="0" borderId="0" xfId="1" applyNumberFormat="1" applyAlignment="1">
      <alignment horizontal="center"/>
    </xf>
    <xf numFmtId="2" fontId="1" fillId="0" borderId="0" xfId="1" applyNumberFormat="1"/>
    <xf numFmtId="1" fontId="1" fillId="0" borderId="0" xfId="1" applyNumberFormat="1" applyAlignment="1">
      <alignment horizontal="center"/>
    </xf>
    <xf numFmtId="2" fontId="26" fillId="0" borderId="0" xfId="1" applyNumberFormat="1" applyFont="1" applyAlignment="1">
      <alignment horizontal="left"/>
    </xf>
    <xf numFmtId="0" fontId="27" fillId="0" borderId="0" xfId="1" applyFont="1" applyAlignment="1">
      <alignment horizontal="right"/>
    </xf>
    <xf numFmtId="165" fontId="27" fillId="0" borderId="0" xfId="1" applyNumberFormat="1" applyFont="1" applyAlignment="1">
      <alignment horizontal="center"/>
    </xf>
    <xf numFmtId="0" fontId="27" fillId="0" borderId="0" xfId="1" applyFont="1" applyAlignment="1">
      <alignment horizontal="left"/>
    </xf>
    <xf numFmtId="2" fontId="27" fillId="0" borderId="0" xfId="1" applyNumberFormat="1" applyFont="1" applyAlignment="1">
      <alignment horizontal="left"/>
    </xf>
    <xf numFmtId="2" fontId="27" fillId="0" borderId="0" xfId="1" applyNumberFormat="1" applyFont="1" applyAlignment="1">
      <alignment horizontal="center"/>
    </xf>
    <xf numFmtId="164" fontId="8" fillId="3" borderId="0" xfId="1" applyNumberFormat="1" applyFont="1" applyFill="1" applyAlignment="1">
      <alignment horizontal="center"/>
    </xf>
    <xf numFmtId="1" fontId="8" fillId="0" borderId="0" xfId="1" applyNumberFormat="1" applyFont="1" applyAlignment="1">
      <alignment horizontal="center"/>
    </xf>
    <xf numFmtId="2" fontId="28" fillId="0" borderId="7" xfId="1" applyNumberFormat="1" applyFont="1" applyBorder="1" applyAlignment="1">
      <alignment horizontal="left"/>
    </xf>
    <xf numFmtId="2" fontId="28" fillId="0" borderId="8" xfId="1" applyNumberFormat="1" applyFont="1" applyBorder="1" applyAlignment="1">
      <alignment horizontal="left"/>
    </xf>
    <xf numFmtId="2" fontId="28" fillId="0" borderId="9" xfId="1" applyNumberFormat="1" applyFont="1" applyBorder="1" applyAlignment="1">
      <alignment horizontal="left"/>
    </xf>
    <xf numFmtId="0" fontId="29" fillId="0" borderId="2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9" fillId="0" borderId="3" xfId="0" applyFont="1" applyBorder="1" applyAlignment="1">
      <alignment vertical="center"/>
    </xf>
    <xf numFmtId="0" fontId="28" fillId="0" borderId="4" xfId="0" applyFont="1" applyBorder="1" applyAlignment="1">
      <alignment vertical="center"/>
    </xf>
    <xf numFmtId="0" fontId="28" fillId="0" borderId="5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2" fontId="2" fillId="0" borderId="0" xfId="1" applyNumberFormat="1" applyFont="1" applyAlignment="1">
      <alignment horizontal="center"/>
    </xf>
    <xf numFmtId="15" fontId="2" fillId="0" borderId="4" xfId="0" applyNumberFormat="1" applyFont="1" applyBorder="1" applyAlignment="1" applyProtection="1">
      <alignment horizontal="left"/>
      <protection locked="0"/>
    </xf>
    <xf numFmtId="0" fontId="17" fillId="0" borderId="5" xfId="0" applyFont="1" applyBorder="1"/>
    <xf numFmtId="0" fontId="17" fillId="0" borderId="6" xfId="0" applyFont="1" applyBorder="1"/>
    <xf numFmtId="2" fontId="15" fillId="0" borderId="2" xfId="1" applyNumberFormat="1" applyFont="1" applyBorder="1" applyAlignment="1">
      <alignment horizontal="left"/>
    </xf>
    <xf numFmtId="0" fontId="0" fillId="0" borderId="0" xfId="0"/>
    <xf numFmtId="0" fontId="0" fillId="0" borderId="3" xfId="0" applyBorder="1"/>
    <xf numFmtId="2" fontId="3" fillId="0" borderId="7" xfId="1" applyNumberFormat="1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2" fontId="12" fillId="0" borderId="2" xfId="1" applyNumberFormat="1" applyFont="1" applyBorder="1" applyAlignment="1">
      <alignment horizontal="left"/>
    </xf>
    <xf numFmtId="0" fontId="16" fillId="0" borderId="0" xfId="0" applyFont="1"/>
    <xf numFmtId="0" fontId="16" fillId="0" borderId="3" xfId="0" applyFont="1" applyBorder="1"/>
    <xf numFmtId="2" fontId="13" fillId="0" borderId="2" xfId="1" applyNumberFormat="1" applyFont="1" applyBorder="1" applyAlignment="1">
      <alignment horizontal="left"/>
    </xf>
    <xf numFmtId="2" fontId="2" fillId="0" borderId="2" xfId="1" applyNumberFormat="1" applyFont="1" applyBorder="1" applyAlignment="1">
      <alignment horizontal="left"/>
    </xf>
  </cellXfs>
  <cellStyles count="2">
    <cellStyle name="Normal" xfId="0" builtinId="0"/>
    <cellStyle name="Normal_mother13" xfId="1" xr:uid="{00000000-0005-0000-0000-000001000000}"/>
  </cellStyles>
  <dxfs count="0"/>
  <tableStyles count="0" defaultTableStyle="TableStyleMedium2" defaultPivotStyle="PivotStyleLight16"/>
  <colors>
    <mruColors>
      <color rgb="FFCC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r>
              <a:rPr lang="en-US"/>
              <a:t>2H Kinetics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strRef>
              <c:f>Calcs!#REF!</c:f>
              <c:strCache>
                <c:ptCount val="1"/>
                <c:pt idx="0">
                  <c:v>#REF!</c:v>
                </c:pt>
              </c:strCache>
            </c:strRef>
          </c:xVal>
          <c:yVal>
            <c:numRef>
              <c:f>Calcs!#REF!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Calcs!#REF!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C82E-4879-9C77-4F615DEF020F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strRef>
              <c:f>Calcs!#REF!</c:f>
              <c:strCache>
                <c:ptCount val="1"/>
                <c:pt idx="0">
                  <c:v>#REF!</c:v>
                </c:pt>
              </c:strCache>
            </c:strRef>
          </c:xVal>
          <c:yVal>
            <c:numRef>
              <c:f>Calcs!#REF!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Calcs!#REF!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C82E-4879-9C77-4F615DEF020F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strRef>
              <c:f>Calcs!#REF!</c:f>
              <c:strCache>
                <c:ptCount val="1"/>
                <c:pt idx="0">
                  <c:v>#REF!</c:v>
                </c:pt>
              </c:strCache>
            </c:strRef>
          </c:xVal>
          <c:yVal>
            <c:numRef>
              <c:f>Calcs!#REF!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82E-4879-9C77-4F615DEF020F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xVal>
            <c:strRef>
              <c:f>Calcs!#REF!</c:f>
              <c:strCache>
                <c:ptCount val="1"/>
                <c:pt idx="0">
                  <c:v>#REF!</c:v>
                </c:pt>
              </c:strCache>
            </c:strRef>
          </c:xVal>
          <c:yVal>
            <c:numRef>
              <c:f>Calcs!#REF!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82E-4879-9C77-4F615DEF0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65120"/>
        <c:axId val="50567040"/>
      </c:scatterChart>
      <c:valAx>
        <c:axId val="505651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50567040"/>
        <c:crosses val="autoZero"/>
        <c:crossBetween val="midCat"/>
      </c:valAx>
      <c:valAx>
        <c:axId val="5056704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50565120"/>
        <c:crosses val="autoZero"/>
        <c:crossBetween val="midCat"/>
      </c:valAx>
      <c:spPr>
        <a:solidFill>
          <a:srgbClr val="00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11" r="0.75000000000000011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r>
              <a:rPr lang="en-GB" sz="1200" b="1" i="0" u="none" strike="noStrike" baseline="30000">
                <a:solidFill>
                  <a:srgbClr val="000000"/>
                </a:solidFill>
                <a:latin typeface="Geneva"/>
              </a:rPr>
              <a:t>2</a:t>
            </a:r>
            <a:r>
              <a:rPr lang="en-GB" sz="1200" b="1" i="0" u="none" strike="noStrike" baseline="0">
                <a:solidFill>
                  <a:srgbClr val="000000"/>
                </a:solidFill>
                <a:latin typeface="Geneva"/>
              </a:rPr>
              <a:t>H Kinetics</a:t>
            </a:r>
          </a:p>
        </c:rich>
      </c:tx>
      <c:layout>
        <c:manualLayout>
          <c:xMode val="edge"/>
          <c:yMode val="edge"/>
          <c:x val="0.43567312857822593"/>
          <c:y val="3.20000000000000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57326013863211"/>
          <c:y val="0.18400047916791454"/>
          <c:w val="0.70175538787718705"/>
          <c:h val="0.62666829861536111"/>
        </c:manualLayout>
      </c:layout>
      <c:scatterChart>
        <c:scatterStyle val="lineMarker"/>
        <c:varyColors val="0"/>
        <c:ser>
          <c:idx val="0"/>
          <c:order val="0"/>
          <c:tx>
            <c:strRef>
              <c:f>Male!$B$94</c:f>
              <c:strCache>
                <c:ptCount val="1"/>
                <c:pt idx="0">
                  <c:v>Mother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Male!$A$96:$A$296</c:f>
              <c:numCache>
                <c:formatCode>0.00</c:formatCode>
                <c:ptCount val="2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5.0999999999999979</c:v>
                </c:pt>
                <c:pt idx="52">
                  <c:v>5.1999999999999975</c:v>
                </c:pt>
                <c:pt idx="53">
                  <c:v>5.2999999999999972</c:v>
                </c:pt>
                <c:pt idx="54">
                  <c:v>5.3999999999999968</c:v>
                </c:pt>
                <c:pt idx="55">
                  <c:v>5.4999999999999964</c:v>
                </c:pt>
                <c:pt idx="56">
                  <c:v>5.5999999999999961</c:v>
                </c:pt>
                <c:pt idx="57">
                  <c:v>5.6999999999999957</c:v>
                </c:pt>
                <c:pt idx="58">
                  <c:v>5.7999999999999954</c:v>
                </c:pt>
                <c:pt idx="59">
                  <c:v>5.899999999999995</c:v>
                </c:pt>
                <c:pt idx="60">
                  <c:v>5.9999999999999947</c:v>
                </c:pt>
                <c:pt idx="61">
                  <c:v>6.0999999999999943</c:v>
                </c:pt>
                <c:pt idx="62">
                  <c:v>6.199999999999994</c:v>
                </c:pt>
                <c:pt idx="63">
                  <c:v>6.2999999999999936</c:v>
                </c:pt>
                <c:pt idx="64">
                  <c:v>6.3999999999999932</c:v>
                </c:pt>
                <c:pt idx="65">
                  <c:v>6.4999999999999929</c:v>
                </c:pt>
                <c:pt idx="66">
                  <c:v>6.5999999999999925</c:v>
                </c:pt>
                <c:pt idx="67">
                  <c:v>6.6999999999999922</c:v>
                </c:pt>
                <c:pt idx="68">
                  <c:v>6.7999999999999918</c:v>
                </c:pt>
                <c:pt idx="69">
                  <c:v>6.8999999999999915</c:v>
                </c:pt>
                <c:pt idx="70">
                  <c:v>6.9999999999999911</c:v>
                </c:pt>
                <c:pt idx="71">
                  <c:v>7.0999999999999908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7.4999999999999893</c:v>
                </c:pt>
                <c:pt idx="76">
                  <c:v>7.599999999999989</c:v>
                </c:pt>
                <c:pt idx="77">
                  <c:v>7.6999999999999886</c:v>
                </c:pt>
                <c:pt idx="78">
                  <c:v>7.7999999999999883</c:v>
                </c:pt>
                <c:pt idx="79">
                  <c:v>7.8999999999999879</c:v>
                </c:pt>
                <c:pt idx="80">
                  <c:v>7.9999999999999876</c:v>
                </c:pt>
                <c:pt idx="81">
                  <c:v>8.0999999999999872</c:v>
                </c:pt>
                <c:pt idx="82">
                  <c:v>8.1999999999999869</c:v>
                </c:pt>
                <c:pt idx="83">
                  <c:v>8.2999999999999865</c:v>
                </c:pt>
                <c:pt idx="84">
                  <c:v>8.3999999999999861</c:v>
                </c:pt>
                <c:pt idx="85">
                  <c:v>8.4999999999999858</c:v>
                </c:pt>
                <c:pt idx="86">
                  <c:v>8.5999999999999854</c:v>
                </c:pt>
                <c:pt idx="87">
                  <c:v>8.6999999999999851</c:v>
                </c:pt>
                <c:pt idx="88">
                  <c:v>8.7999999999999847</c:v>
                </c:pt>
                <c:pt idx="89">
                  <c:v>8.8999999999999844</c:v>
                </c:pt>
                <c:pt idx="90">
                  <c:v>8.999999999999984</c:v>
                </c:pt>
                <c:pt idx="91">
                  <c:v>9.0999999999999837</c:v>
                </c:pt>
                <c:pt idx="92">
                  <c:v>9.1999999999999833</c:v>
                </c:pt>
                <c:pt idx="93">
                  <c:v>9.2999999999999829</c:v>
                </c:pt>
                <c:pt idx="94">
                  <c:v>9.3999999999999826</c:v>
                </c:pt>
                <c:pt idx="95">
                  <c:v>9.4999999999999822</c:v>
                </c:pt>
                <c:pt idx="96">
                  <c:v>9.5999999999999819</c:v>
                </c:pt>
                <c:pt idx="97">
                  <c:v>9.6999999999999815</c:v>
                </c:pt>
                <c:pt idx="98">
                  <c:v>9.7999999999999812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10.09999999999998</c:v>
                </c:pt>
                <c:pt idx="102">
                  <c:v>10.19999999999998</c:v>
                </c:pt>
                <c:pt idx="103">
                  <c:v>10.299999999999979</c:v>
                </c:pt>
                <c:pt idx="104">
                  <c:v>10.399999999999979</c:v>
                </c:pt>
                <c:pt idx="105">
                  <c:v>10.499999999999979</c:v>
                </c:pt>
                <c:pt idx="106">
                  <c:v>10.599999999999978</c:v>
                </c:pt>
                <c:pt idx="107">
                  <c:v>10.699999999999978</c:v>
                </c:pt>
                <c:pt idx="108">
                  <c:v>10.799999999999978</c:v>
                </c:pt>
                <c:pt idx="109">
                  <c:v>10.899999999999977</c:v>
                </c:pt>
                <c:pt idx="110">
                  <c:v>10.999999999999977</c:v>
                </c:pt>
                <c:pt idx="111">
                  <c:v>11.099999999999977</c:v>
                </c:pt>
                <c:pt idx="112">
                  <c:v>11.199999999999976</c:v>
                </c:pt>
                <c:pt idx="113">
                  <c:v>11.299999999999976</c:v>
                </c:pt>
                <c:pt idx="114">
                  <c:v>11.399999999999975</c:v>
                </c:pt>
                <c:pt idx="115">
                  <c:v>11.499999999999975</c:v>
                </c:pt>
                <c:pt idx="116">
                  <c:v>11.599999999999975</c:v>
                </c:pt>
                <c:pt idx="117">
                  <c:v>11.699999999999974</c:v>
                </c:pt>
                <c:pt idx="118">
                  <c:v>11.799999999999974</c:v>
                </c:pt>
                <c:pt idx="119">
                  <c:v>11.899999999999974</c:v>
                </c:pt>
                <c:pt idx="120">
                  <c:v>11.999999999999973</c:v>
                </c:pt>
                <c:pt idx="121">
                  <c:v>12.099999999999973</c:v>
                </c:pt>
                <c:pt idx="122">
                  <c:v>12.199999999999973</c:v>
                </c:pt>
                <c:pt idx="123">
                  <c:v>12.299999999999972</c:v>
                </c:pt>
                <c:pt idx="124">
                  <c:v>12.399999999999972</c:v>
                </c:pt>
                <c:pt idx="125">
                  <c:v>12.499999999999972</c:v>
                </c:pt>
                <c:pt idx="126">
                  <c:v>12.599999999999971</c:v>
                </c:pt>
                <c:pt idx="127">
                  <c:v>12.699999999999971</c:v>
                </c:pt>
                <c:pt idx="128">
                  <c:v>12.799999999999971</c:v>
                </c:pt>
                <c:pt idx="129">
                  <c:v>12.89999999999997</c:v>
                </c:pt>
                <c:pt idx="130">
                  <c:v>12.99999999999997</c:v>
                </c:pt>
                <c:pt idx="131">
                  <c:v>13.099999999999969</c:v>
                </c:pt>
                <c:pt idx="132">
                  <c:v>13.199999999999969</c:v>
                </c:pt>
                <c:pt idx="133">
                  <c:v>13.299999999999969</c:v>
                </c:pt>
                <c:pt idx="134">
                  <c:v>13.399999999999968</c:v>
                </c:pt>
                <c:pt idx="135">
                  <c:v>13.499999999999968</c:v>
                </c:pt>
                <c:pt idx="136">
                  <c:v>13.599999999999968</c:v>
                </c:pt>
                <c:pt idx="137">
                  <c:v>13.699999999999967</c:v>
                </c:pt>
                <c:pt idx="138">
                  <c:v>13.799999999999967</c:v>
                </c:pt>
                <c:pt idx="139">
                  <c:v>13.899999999999967</c:v>
                </c:pt>
                <c:pt idx="140">
                  <c:v>13.999999999999966</c:v>
                </c:pt>
                <c:pt idx="141">
                  <c:v>14.099999999999966</c:v>
                </c:pt>
                <c:pt idx="142">
                  <c:v>14.199999999999966</c:v>
                </c:pt>
                <c:pt idx="143">
                  <c:v>14.299999999999965</c:v>
                </c:pt>
                <c:pt idx="144">
                  <c:v>14.399999999999965</c:v>
                </c:pt>
                <c:pt idx="145">
                  <c:v>14.499999999999964</c:v>
                </c:pt>
                <c:pt idx="146">
                  <c:v>14.599999999999964</c:v>
                </c:pt>
                <c:pt idx="147">
                  <c:v>14.699999999999964</c:v>
                </c:pt>
                <c:pt idx="148">
                  <c:v>14.799999999999963</c:v>
                </c:pt>
                <c:pt idx="149">
                  <c:v>14.899999999999963</c:v>
                </c:pt>
                <c:pt idx="150">
                  <c:v>14.999999999999963</c:v>
                </c:pt>
                <c:pt idx="151">
                  <c:v>15.099999999999962</c:v>
                </c:pt>
                <c:pt idx="152">
                  <c:v>15.199999999999962</c:v>
                </c:pt>
                <c:pt idx="153">
                  <c:v>15.299999999999962</c:v>
                </c:pt>
                <c:pt idx="154">
                  <c:v>15.399999999999961</c:v>
                </c:pt>
                <c:pt idx="155">
                  <c:v>15.499999999999961</c:v>
                </c:pt>
                <c:pt idx="156">
                  <c:v>15.599999999999961</c:v>
                </c:pt>
                <c:pt idx="157">
                  <c:v>15.69999999999996</c:v>
                </c:pt>
                <c:pt idx="158">
                  <c:v>15.79999999999996</c:v>
                </c:pt>
                <c:pt idx="159">
                  <c:v>15.899999999999959</c:v>
                </c:pt>
                <c:pt idx="160">
                  <c:v>15.999999999999959</c:v>
                </c:pt>
                <c:pt idx="161">
                  <c:v>16.099999999999959</c:v>
                </c:pt>
                <c:pt idx="162">
                  <c:v>16.19999999999996</c:v>
                </c:pt>
                <c:pt idx="163">
                  <c:v>16.299999999999962</c:v>
                </c:pt>
                <c:pt idx="164">
                  <c:v>16.399999999999963</c:v>
                </c:pt>
                <c:pt idx="165">
                  <c:v>16.499999999999964</c:v>
                </c:pt>
                <c:pt idx="166">
                  <c:v>16.599999999999966</c:v>
                </c:pt>
                <c:pt idx="167">
                  <c:v>16.699999999999967</c:v>
                </c:pt>
                <c:pt idx="168">
                  <c:v>16.799999999999969</c:v>
                </c:pt>
                <c:pt idx="169">
                  <c:v>16.89999999999997</c:v>
                </c:pt>
                <c:pt idx="170">
                  <c:v>16.999999999999972</c:v>
                </c:pt>
                <c:pt idx="171">
                  <c:v>17.099999999999973</c:v>
                </c:pt>
                <c:pt idx="172">
                  <c:v>17.199999999999974</c:v>
                </c:pt>
                <c:pt idx="173">
                  <c:v>17.299999999999976</c:v>
                </c:pt>
                <c:pt idx="174">
                  <c:v>17.399999999999977</c:v>
                </c:pt>
                <c:pt idx="175">
                  <c:v>17.499999999999979</c:v>
                </c:pt>
                <c:pt idx="176">
                  <c:v>17.59999999999998</c:v>
                </c:pt>
                <c:pt idx="177">
                  <c:v>17.699999999999982</c:v>
                </c:pt>
                <c:pt idx="178">
                  <c:v>17.799999999999983</c:v>
                </c:pt>
                <c:pt idx="179">
                  <c:v>17.899999999999984</c:v>
                </c:pt>
                <c:pt idx="180">
                  <c:v>17.999999999999986</c:v>
                </c:pt>
                <c:pt idx="181">
                  <c:v>18.099999999999987</c:v>
                </c:pt>
                <c:pt idx="182">
                  <c:v>18.199999999999989</c:v>
                </c:pt>
                <c:pt idx="183">
                  <c:v>18.29999999999999</c:v>
                </c:pt>
                <c:pt idx="184">
                  <c:v>18.399999999999991</c:v>
                </c:pt>
                <c:pt idx="185">
                  <c:v>18.499999999999993</c:v>
                </c:pt>
                <c:pt idx="186">
                  <c:v>18.599999999999994</c:v>
                </c:pt>
                <c:pt idx="187">
                  <c:v>18.699999999999996</c:v>
                </c:pt>
                <c:pt idx="188">
                  <c:v>18.799999999999997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19.200000000000003</c:v>
                </c:pt>
                <c:pt idx="193">
                  <c:v>19.300000000000004</c:v>
                </c:pt>
                <c:pt idx="194">
                  <c:v>19.400000000000006</c:v>
                </c:pt>
                <c:pt idx="195">
                  <c:v>19.500000000000007</c:v>
                </c:pt>
                <c:pt idx="196">
                  <c:v>19.600000000000009</c:v>
                </c:pt>
                <c:pt idx="197">
                  <c:v>19.70000000000001</c:v>
                </c:pt>
                <c:pt idx="198">
                  <c:v>19.800000000000011</c:v>
                </c:pt>
                <c:pt idx="199">
                  <c:v>19.900000000000013</c:v>
                </c:pt>
                <c:pt idx="200">
                  <c:v>20.000000000000014</c:v>
                </c:pt>
              </c:numCache>
            </c:numRef>
          </c:xVal>
          <c:yVal>
            <c:numRef>
              <c:f>Male!$B$96:$B$296</c:f>
              <c:numCache>
                <c:formatCode>0.00</c:formatCode>
                <c:ptCount val="201"/>
                <c:pt idx="0">
                  <c:v>980.0342499580189</c:v>
                </c:pt>
                <c:pt idx="1">
                  <c:v>964.18453711099596</c:v>
                </c:pt>
                <c:pt idx="2">
                  <c:v>948.59115550682895</c:v>
                </c:pt>
                <c:pt idx="3">
                  <c:v>933.24995959999922</c:v>
                </c:pt>
                <c:pt idx="4">
                  <c:v>918.15687088928382</c:v>
                </c:pt>
                <c:pt idx="5">
                  <c:v>903.30787683347444</c:v>
                </c:pt>
                <c:pt idx="6">
                  <c:v>888.69902978463119</c:v>
                </c:pt>
                <c:pt idx="7">
                  <c:v>874.32644593858936</c:v>
                </c:pt>
                <c:pt idx="8">
                  <c:v>860.18630430243911</c:v>
                </c:pt>
                <c:pt idx="9">
                  <c:v>846.2748456787026</c:v>
                </c:pt>
                <c:pt idx="10">
                  <c:v>832.58837166594174</c:v>
                </c:pt>
                <c:pt idx="11">
                  <c:v>819.12324367552617</c:v>
                </c:pt>
                <c:pt idx="12">
                  <c:v>805.87588196430522</c:v>
                </c:pt>
                <c:pt idx="13">
                  <c:v>792.84276468292171</c:v>
                </c:pt>
                <c:pt idx="14">
                  <c:v>780.02042693951898</c:v>
                </c:pt>
                <c:pt idx="15">
                  <c:v>767.405459878589</c:v>
                </c:pt>
                <c:pt idx="16">
                  <c:v>754.99450977471838</c:v>
                </c:pt>
                <c:pt idx="17">
                  <c:v>742.78427714099075</c:v>
                </c:pt>
                <c:pt idx="18">
                  <c:v>730.77151585180877</c:v>
                </c:pt>
                <c:pt idx="19">
                  <c:v>718.953032279902</c:v>
                </c:pt>
                <c:pt idx="20">
                  <c:v>707.32568444729202</c:v>
                </c:pt>
                <c:pt idx="21">
                  <c:v>695.88638118998881</c:v>
                </c:pt>
                <c:pt idx="22">
                  <c:v>684.63208133619514</c:v>
                </c:pt>
                <c:pt idx="23">
                  <c:v>673.55979289780316</c:v>
                </c:pt>
                <c:pt idx="24">
                  <c:v>662.66657227496501</c:v>
                </c:pt>
                <c:pt idx="25">
                  <c:v>651.94952347352864</c:v>
                </c:pt>
                <c:pt idx="26">
                  <c:v>641.40579733512936</c:v>
                </c:pt>
                <c:pt idx="27">
                  <c:v>631.03259077973291</c:v>
                </c:pt>
                <c:pt idx="28">
                  <c:v>620.82714606042828</c:v>
                </c:pt>
                <c:pt idx="29">
                  <c:v>610.78675003027308</c:v>
                </c:pt>
                <c:pt idx="30">
                  <c:v>600.90873342099565</c:v>
                </c:pt>
                <c:pt idx="31">
                  <c:v>591.19047013336149</c:v>
                </c:pt>
                <c:pt idx="32">
                  <c:v>581.62937653901849</c:v>
                </c:pt>
                <c:pt idx="33">
                  <c:v>572.22291079363129</c:v>
                </c:pt>
                <c:pt idx="34">
                  <c:v>562.96857216112414</c:v>
                </c:pt>
                <c:pt idx="35">
                  <c:v>553.86390034885369</c:v>
                </c:pt>
                <c:pt idx="36">
                  <c:v>544.90647485353293</c:v>
                </c:pt>
                <c:pt idx="37">
                  <c:v>536.09391431773338</c:v>
                </c:pt>
                <c:pt idx="38">
                  <c:v>527.4238758967939</c:v>
                </c:pt>
                <c:pt idx="39">
                  <c:v>518.8940546359695</c:v>
                </c:pt>
                <c:pt idx="40">
                  <c:v>510.50218285765169</c:v>
                </c:pt>
                <c:pt idx="41">
                  <c:v>502.24602955850048</c:v>
                </c:pt>
                <c:pt idx="42">
                  <c:v>494.12339981632499</c:v>
                </c:pt>
                <c:pt idx="43">
                  <c:v>486.13213420655791</c:v>
                </c:pt>
                <c:pt idx="44">
                  <c:v>478.27010822816544</c:v>
                </c:pt>
                <c:pt idx="45">
                  <c:v>470.53523173884304</c:v>
                </c:pt>
                <c:pt idx="46">
                  <c:v>462.92544839934499</c:v>
                </c:pt>
                <c:pt idx="47">
                  <c:v>455.4387351268004</c:v>
                </c:pt>
                <c:pt idx="48">
                  <c:v>448.07310155687128</c:v>
                </c:pt>
                <c:pt idx="49">
                  <c:v>440.82658951460797</c:v>
                </c:pt>
                <c:pt idx="50">
                  <c:v>433.69727249386278</c:v>
                </c:pt>
                <c:pt idx="51">
                  <c:v>426.68325514512293</c:v>
                </c:pt>
                <c:pt idx="52">
                  <c:v>419.78267277162638</c:v>
                </c:pt>
                <c:pt idx="53">
                  <c:v>412.99369083362672</c:v>
                </c:pt>
                <c:pt idx="54">
                  <c:v>406.31450446067544</c:v>
                </c:pt>
                <c:pt idx="55">
                  <c:v>399.74333797179207</c:v>
                </c:pt>
                <c:pt idx="56">
                  <c:v>393.27844440339408</c:v>
                </c:pt>
                <c:pt idx="57">
                  <c:v>386.91810504486182</c:v>
                </c:pt>
                <c:pt idx="58">
                  <c:v>380.66062898161402</c:v>
                </c:pt>
                <c:pt idx="59">
                  <c:v>374.50435264557359</c:v>
                </c:pt>
                <c:pt idx="60">
                  <c:v>368.44763937290298</c:v>
                </c:pt>
                <c:pt idx="61">
                  <c:v>362.48887896889249</c:v>
                </c:pt>
                <c:pt idx="62">
                  <c:v>356.62648727988545</c:v>
                </c:pt>
                <c:pt idx="63">
                  <c:v>350.85890577212609</c:v>
                </c:pt>
                <c:pt idx="64">
                  <c:v>345.18460111741933</c:v>
                </c:pt>
                <c:pt idx="65">
                  <c:v>339.60206478549054</c:v>
                </c:pt>
                <c:pt idx="66">
                  <c:v>334.10981264293872</c:v>
                </c:pt>
                <c:pt idx="67">
                  <c:v>328.70638455867532</c:v>
                </c:pt>
                <c:pt idx="68">
                  <c:v>323.39034401574406</c:v>
                </c:pt>
                <c:pt idx="69">
                  <c:v>318.16027772941874</c:v>
                </c:pt>
                <c:pt idx="70">
                  <c:v>313.01479527147774</c:v>
                </c:pt>
                <c:pt idx="71">
                  <c:v>307.95252870055424</c:v>
                </c:pt>
                <c:pt idx="72">
                  <c:v>302.97213219846526</c:v>
                </c:pt>
                <c:pt idx="73">
                  <c:v>298.0722817124219</c:v>
                </c:pt>
                <c:pt idx="74">
                  <c:v>293.25167460302629</c:v>
                </c:pt>
                <c:pt idx="75">
                  <c:v>288.50902929796104</c:v>
                </c:pt>
                <c:pt idx="76">
                  <c:v>283.84308495127942</c:v>
                </c:pt>
                <c:pt idx="77">
                  <c:v>279.25260110820602</c:v>
                </c:pt>
                <c:pt idx="78">
                  <c:v>274.73635737535795</c:v>
                </c:pt>
                <c:pt idx="79">
                  <c:v>270.29315309630039</c:v>
                </c:pt>
                <c:pt idx="80">
                  <c:v>265.92180703234771</c:v>
                </c:pt>
                <c:pt idx="81">
                  <c:v>261.62115704852863</c:v>
                </c:pt>
                <c:pt idx="82">
                  <c:v>257.39005980462855</c:v>
                </c:pt>
                <c:pt idx="83">
                  <c:v>253.22739045122978</c:v>
                </c:pt>
                <c:pt idx="84">
                  <c:v>249.13204233066679</c:v>
                </c:pt>
                <c:pt idx="85">
                  <c:v>245.10292668281818</c:v>
                </c:pt>
                <c:pt idx="86">
                  <c:v>241.13897235565665</c:v>
                </c:pt>
                <c:pt idx="87">
                  <c:v>237.23912552048014</c:v>
                </c:pt>
                <c:pt idx="88">
                  <c:v>233.40234939174849</c:v>
                </c:pt>
                <c:pt idx="89">
                  <c:v>229.62762395145066</c:v>
                </c:pt>
                <c:pt idx="90">
                  <c:v>225.91394567793054</c:v>
                </c:pt>
                <c:pt idx="91">
                  <c:v>222.26032727909757</c:v>
                </c:pt>
                <c:pt idx="92">
                  <c:v>218.66579742995205</c:v>
                </c:pt>
                <c:pt idx="93">
                  <c:v>215.12940051435604</c:v>
                </c:pt>
                <c:pt idx="94">
                  <c:v>211.65019637097964</c:v>
                </c:pt>
                <c:pt idx="95">
                  <c:v>208.22726004335667</c:v>
                </c:pt>
                <c:pt idx="96">
                  <c:v>204.85968153398218</c:v>
                </c:pt>
                <c:pt idx="97">
                  <c:v>201.54656556238703</c:v>
                </c:pt>
                <c:pt idx="98">
                  <c:v>198.28703132712499</c:v>
                </c:pt>
                <c:pt idx="99">
                  <c:v>195.08021227160916</c:v>
                </c:pt>
                <c:pt idx="100">
                  <c:v>191.92525585373528</c:v>
                </c:pt>
                <c:pt idx="101">
                  <c:v>188.82132331923108</c:v>
                </c:pt>
                <c:pt idx="102">
                  <c:v>185.76758947867103</c:v>
                </c:pt>
                <c:pt idx="103">
                  <c:v>182.76324248809729</c:v>
                </c:pt>
                <c:pt idx="104">
                  <c:v>179.8074836331887</c:v>
                </c:pt>
                <c:pt idx="105">
                  <c:v>176.89952711692013</c:v>
                </c:pt>
                <c:pt idx="106">
                  <c:v>174.03859985065628</c:v>
                </c:pt>
                <c:pt idx="107">
                  <c:v>171.22394124862376</c:v>
                </c:pt>
                <c:pt idx="108">
                  <c:v>168.45480302570709</c:v>
                </c:pt>
                <c:pt idx="109">
                  <c:v>165.7304489985151</c:v>
                </c:pt>
                <c:pt idx="110">
                  <c:v>163.05015488966413</c:v>
                </c:pt>
                <c:pt idx="111">
                  <c:v>160.41320813522725</c:v>
                </c:pt>
                <c:pt idx="112">
                  <c:v>157.81890769529673</c:v>
                </c:pt>
                <c:pt idx="113">
                  <c:v>155.2665638676107</c:v>
                </c:pt>
                <c:pt idx="114">
                  <c:v>152.75549810419375</c:v>
                </c:pt>
                <c:pt idx="115">
                  <c:v>150.28504283096314</c:v>
                </c:pt>
                <c:pt idx="116">
                  <c:v>147.85454127025204</c:v>
                </c:pt>
                <c:pt idx="117">
                  <c:v>145.46334726620353</c:v>
                </c:pt>
                <c:pt idx="118">
                  <c:v>143.1108251129881</c:v>
                </c:pt>
                <c:pt idx="119">
                  <c:v>140.79634938579943</c:v>
                </c:pt>
                <c:pt idx="120">
                  <c:v>138.51930477458347</c:v>
                </c:pt>
                <c:pt idx="121">
                  <c:v>136.27908592045623</c:v>
                </c:pt>
                <c:pt idx="122">
                  <c:v>134.07509725476774</c:v>
                </c:pt>
                <c:pt idx="123">
                  <c:v>131.90675284076818</c:v>
                </c:pt>
                <c:pt idx="124">
                  <c:v>129.77347621783491</c:v>
                </c:pt>
                <c:pt idx="125">
                  <c:v>127.67470024821876</c:v>
                </c:pt>
                <c:pt idx="126">
                  <c:v>125.60986696626902</c:v>
                </c:pt>
                <c:pt idx="127">
                  <c:v>123.57842743009627</c:v>
                </c:pt>
                <c:pt idx="128">
                  <c:v>121.57984157563499</c:v>
                </c:pt>
                <c:pt idx="129">
                  <c:v>119.6135780730657</c:v>
                </c:pt>
                <c:pt idx="130">
                  <c:v>117.67911418555943</c:v>
                </c:pt>
                <c:pt idx="131">
                  <c:v>115.77593563030689</c:v>
                </c:pt>
                <c:pt idx="132">
                  <c:v>113.90353644179444</c:v>
                </c:pt>
                <c:pt idx="133">
                  <c:v>112.06141883729219</c:v>
                </c:pt>
                <c:pt idx="134">
                  <c:v>110.2490930845166</c:v>
                </c:pt>
                <c:pt idx="135">
                  <c:v>108.46607737143395</c:v>
                </c:pt>
                <c:pt idx="136">
                  <c:v>106.71189767816934</c:v>
                </c:pt>
                <c:pt idx="137">
                  <c:v>104.98608765098678</c:v>
                </c:pt>
                <c:pt idx="138">
                  <c:v>103.28818847830809</c:v>
                </c:pt>
                <c:pt idx="139">
                  <c:v>101.61774876873623</c:v>
                </c:pt>
                <c:pt idx="140">
                  <c:v>99.974324431051699</c:v>
                </c:pt>
                <c:pt idx="141">
                  <c:v>98.357478556149744</c:v>
                </c:pt>
                <c:pt idx="142">
                  <c:v>96.766781300886493</c:v>
                </c:pt>
                <c:pt idx="143">
                  <c:v>95.201809773804257</c:v>
                </c:pt>
                <c:pt idx="144">
                  <c:v>93.662147922704349</c:v>
                </c:pt>
                <c:pt idx="145">
                  <c:v>92.147386424038487</c:v>
                </c:pt>
                <c:pt idx="146">
                  <c:v>90.657122574089158</c:v>
                </c:pt>
                <c:pt idx="147">
                  <c:v>89.190960181909261</c:v>
                </c:pt>
                <c:pt idx="148">
                  <c:v>87.748509463993983</c:v>
                </c:pt>
                <c:pt idx="149">
                  <c:v>86.329386940655468</c:v>
                </c:pt>
                <c:pt idx="150">
                  <c:v>84.93321533407385</c:v>
                </c:pt>
                <c:pt idx="151">
                  <c:v>83.55962346799663</c:v>
                </c:pt>
                <c:pt idx="152">
                  <c:v>82.208246169060544</c:v>
                </c:pt>
                <c:pt idx="153">
                  <c:v>80.878724169709216</c:v>
                </c:pt>
                <c:pt idx="154">
                  <c:v>79.570704012680636</c:v>
                </c:pt>
                <c:pt idx="155">
                  <c:v>78.283837957039765</c:v>
                </c:pt>
                <c:pt idx="156">
                  <c:v>77.017783885730438</c:v>
                </c:pt>
                <c:pt idx="157">
                  <c:v>75.772205214622559</c:v>
                </c:pt>
                <c:pt idx="158">
                  <c:v>74.546770803030427</c:v>
                </c:pt>
                <c:pt idx="159">
                  <c:v>73.341154865677737</c:v>
                </c:pt>
                <c:pt idx="160">
                  <c:v>72.155036886086918</c:v>
                </c:pt>
                <c:pt idx="161">
                  <c:v>70.988101531368642</c:v>
                </c:pt>
                <c:pt idx="162">
                  <c:v>69.840038568389843</c:v>
                </c:pt>
                <c:pt idx="163">
                  <c:v>68.710542781297249</c:v>
                </c:pt>
                <c:pt idx="164">
                  <c:v>67.599313890375001</c:v>
                </c:pt>
                <c:pt idx="165">
                  <c:v>66.50605647221424</c:v>
                </c:pt>
                <c:pt idx="166">
                  <c:v>65.430479881174037</c:v>
                </c:pt>
                <c:pt idx="167">
                  <c:v>64.37229817211238</c:v>
                </c:pt>
                <c:pt idx="168">
                  <c:v>63.331230024366882</c:v>
                </c:pt>
                <c:pt idx="169">
                  <c:v>62.306998666964859</c:v>
                </c:pt>
                <c:pt idx="170">
                  <c:v>61.299331805042883</c:v>
                </c:pt>
                <c:pt idx="171">
                  <c:v>60.307961547456543</c:v>
                </c:pt>
                <c:pt idx="172">
                  <c:v>59.332624335560695</c:v>
                </c:pt>
                <c:pt idx="173">
                  <c:v>58.373060873141682</c:v>
                </c:pt>
                <c:pt idx="174">
                  <c:v>57.429016057482706</c:v>
                </c:pt>
                <c:pt idx="175">
                  <c:v>56.50023891154401</c:v>
                </c:pt>
                <c:pt idx="176">
                  <c:v>55.586482517239901</c:v>
                </c:pt>
                <c:pt idx="177">
                  <c:v>54.687503949794873</c:v>
                </c:pt>
                <c:pt idx="178">
                  <c:v>53.803064213161356</c:v>
                </c:pt>
                <c:pt idx="179">
                  <c:v>52.932928176481944</c:v>
                </c:pt>
                <c:pt idx="180">
                  <c:v>52.076864511579103</c:v>
                </c:pt>
                <c:pt idx="181">
                  <c:v>51.234645631456075</c:v>
                </c:pt>
                <c:pt idx="182">
                  <c:v>50.406047629791999</c:v>
                </c:pt>
                <c:pt idx="183">
                  <c:v>49.59085022141592</c:v>
                </c:pt>
                <c:pt idx="184">
                  <c:v>48.788836683743284</c:v>
                </c:pt>
                <c:pt idx="185">
                  <c:v>47.99979379915964</c:v>
                </c:pt>
                <c:pt idx="186">
                  <c:v>47.223511798336112</c:v>
                </c:pt>
                <c:pt idx="187">
                  <c:v>46.459784304461586</c:v>
                </c:pt>
                <c:pt idx="188">
                  <c:v>45.708408278376893</c:v>
                </c:pt>
                <c:pt idx="189">
                  <c:v>44.969183964596226</c:v>
                </c:pt>
                <c:pt idx="190">
                  <c:v>44.241914838201573</c:v>
                </c:pt>
                <c:pt idx="191">
                  <c:v>43.526407552596012</c:v>
                </c:pt>
                <c:pt idx="192">
                  <c:v>42.822471888101937</c:v>
                </c:pt>
                <c:pt idx="193">
                  <c:v>42.129920701390652</c:v>
                </c:pt>
                <c:pt idx="194">
                  <c:v>41.448569875729703</c:v>
                </c:pt>
                <c:pt idx="195">
                  <c:v>40.778238272035004</c:v>
                </c:pt>
                <c:pt idx="196">
                  <c:v>40.118747680714421</c:v>
                </c:pt>
                <c:pt idx="197">
                  <c:v>39.469922774290232</c:v>
                </c:pt>
                <c:pt idx="198">
                  <c:v>38.831591060787893</c:v>
                </c:pt>
                <c:pt idx="199">
                  <c:v>38.20358283787845</c:v>
                </c:pt>
                <c:pt idx="200">
                  <c:v>37.585731147762758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F9-4F39-8CA9-43EED35E2BED}"/>
            </c:ext>
          </c:extLst>
        </c:ser>
        <c:ser>
          <c:idx val="1"/>
          <c:order val="1"/>
          <c:tx>
            <c:strRef>
              <c:f>Male!$D$94</c:f>
              <c:strCache>
                <c:ptCount val="1"/>
                <c:pt idx="0">
                  <c:v>Baby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Male!$A$96:$A$296</c:f>
              <c:numCache>
                <c:formatCode>0.00</c:formatCode>
                <c:ptCount val="2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5.0999999999999979</c:v>
                </c:pt>
                <c:pt idx="52">
                  <c:v>5.1999999999999975</c:v>
                </c:pt>
                <c:pt idx="53">
                  <c:v>5.2999999999999972</c:v>
                </c:pt>
                <c:pt idx="54">
                  <c:v>5.3999999999999968</c:v>
                </c:pt>
                <c:pt idx="55">
                  <c:v>5.4999999999999964</c:v>
                </c:pt>
                <c:pt idx="56">
                  <c:v>5.5999999999999961</c:v>
                </c:pt>
                <c:pt idx="57">
                  <c:v>5.6999999999999957</c:v>
                </c:pt>
                <c:pt idx="58">
                  <c:v>5.7999999999999954</c:v>
                </c:pt>
                <c:pt idx="59">
                  <c:v>5.899999999999995</c:v>
                </c:pt>
                <c:pt idx="60">
                  <c:v>5.9999999999999947</c:v>
                </c:pt>
                <c:pt idx="61">
                  <c:v>6.0999999999999943</c:v>
                </c:pt>
                <c:pt idx="62">
                  <c:v>6.199999999999994</c:v>
                </c:pt>
                <c:pt idx="63">
                  <c:v>6.2999999999999936</c:v>
                </c:pt>
                <c:pt idx="64">
                  <c:v>6.3999999999999932</c:v>
                </c:pt>
                <c:pt idx="65">
                  <c:v>6.4999999999999929</c:v>
                </c:pt>
                <c:pt idx="66">
                  <c:v>6.5999999999999925</c:v>
                </c:pt>
                <c:pt idx="67">
                  <c:v>6.6999999999999922</c:v>
                </c:pt>
                <c:pt idx="68">
                  <c:v>6.7999999999999918</c:v>
                </c:pt>
                <c:pt idx="69">
                  <c:v>6.8999999999999915</c:v>
                </c:pt>
                <c:pt idx="70">
                  <c:v>6.9999999999999911</c:v>
                </c:pt>
                <c:pt idx="71">
                  <c:v>7.0999999999999908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7.4999999999999893</c:v>
                </c:pt>
                <c:pt idx="76">
                  <c:v>7.599999999999989</c:v>
                </c:pt>
                <c:pt idx="77">
                  <c:v>7.6999999999999886</c:v>
                </c:pt>
                <c:pt idx="78">
                  <c:v>7.7999999999999883</c:v>
                </c:pt>
                <c:pt idx="79">
                  <c:v>7.8999999999999879</c:v>
                </c:pt>
                <c:pt idx="80">
                  <c:v>7.9999999999999876</c:v>
                </c:pt>
                <c:pt idx="81">
                  <c:v>8.0999999999999872</c:v>
                </c:pt>
                <c:pt idx="82">
                  <c:v>8.1999999999999869</c:v>
                </c:pt>
                <c:pt idx="83">
                  <c:v>8.2999999999999865</c:v>
                </c:pt>
                <c:pt idx="84">
                  <c:v>8.3999999999999861</c:v>
                </c:pt>
                <c:pt idx="85">
                  <c:v>8.4999999999999858</c:v>
                </c:pt>
                <c:pt idx="86">
                  <c:v>8.5999999999999854</c:v>
                </c:pt>
                <c:pt idx="87">
                  <c:v>8.6999999999999851</c:v>
                </c:pt>
                <c:pt idx="88">
                  <c:v>8.7999999999999847</c:v>
                </c:pt>
                <c:pt idx="89">
                  <c:v>8.8999999999999844</c:v>
                </c:pt>
                <c:pt idx="90">
                  <c:v>8.999999999999984</c:v>
                </c:pt>
                <c:pt idx="91">
                  <c:v>9.0999999999999837</c:v>
                </c:pt>
                <c:pt idx="92">
                  <c:v>9.1999999999999833</c:v>
                </c:pt>
                <c:pt idx="93">
                  <c:v>9.2999999999999829</c:v>
                </c:pt>
                <c:pt idx="94">
                  <c:v>9.3999999999999826</c:v>
                </c:pt>
                <c:pt idx="95">
                  <c:v>9.4999999999999822</c:v>
                </c:pt>
                <c:pt idx="96">
                  <c:v>9.5999999999999819</c:v>
                </c:pt>
                <c:pt idx="97">
                  <c:v>9.6999999999999815</c:v>
                </c:pt>
                <c:pt idx="98">
                  <c:v>9.7999999999999812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10.09999999999998</c:v>
                </c:pt>
                <c:pt idx="102">
                  <c:v>10.19999999999998</c:v>
                </c:pt>
                <c:pt idx="103">
                  <c:v>10.299999999999979</c:v>
                </c:pt>
                <c:pt idx="104">
                  <c:v>10.399999999999979</c:v>
                </c:pt>
                <c:pt idx="105">
                  <c:v>10.499999999999979</c:v>
                </c:pt>
                <c:pt idx="106">
                  <c:v>10.599999999999978</c:v>
                </c:pt>
                <c:pt idx="107">
                  <c:v>10.699999999999978</c:v>
                </c:pt>
                <c:pt idx="108">
                  <c:v>10.799999999999978</c:v>
                </c:pt>
                <c:pt idx="109">
                  <c:v>10.899999999999977</c:v>
                </c:pt>
                <c:pt idx="110">
                  <c:v>10.999999999999977</c:v>
                </c:pt>
                <c:pt idx="111">
                  <c:v>11.099999999999977</c:v>
                </c:pt>
                <c:pt idx="112">
                  <c:v>11.199999999999976</c:v>
                </c:pt>
                <c:pt idx="113">
                  <c:v>11.299999999999976</c:v>
                </c:pt>
                <c:pt idx="114">
                  <c:v>11.399999999999975</c:v>
                </c:pt>
                <c:pt idx="115">
                  <c:v>11.499999999999975</c:v>
                </c:pt>
                <c:pt idx="116">
                  <c:v>11.599999999999975</c:v>
                </c:pt>
                <c:pt idx="117">
                  <c:v>11.699999999999974</c:v>
                </c:pt>
                <c:pt idx="118">
                  <c:v>11.799999999999974</c:v>
                </c:pt>
                <c:pt idx="119">
                  <c:v>11.899999999999974</c:v>
                </c:pt>
                <c:pt idx="120">
                  <c:v>11.999999999999973</c:v>
                </c:pt>
                <c:pt idx="121">
                  <c:v>12.099999999999973</c:v>
                </c:pt>
                <c:pt idx="122">
                  <c:v>12.199999999999973</c:v>
                </c:pt>
                <c:pt idx="123">
                  <c:v>12.299999999999972</c:v>
                </c:pt>
                <c:pt idx="124">
                  <c:v>12.399999999999972</c:v>
                </c:pt>
                <c:pt idx="125">
                  <c:v>12.499999999999972</c:v>
                </c:pt>
                <c:pt idx="126">
                  <c:v>12.599999999999971</c:v>
                </c:pt>
                <c:pt idx="127">
                  <c:v>12.699999999999971</c:v>
                </c:pt>
                <c:pt idx="128">
                  <c:v>12.799999999999971</c:v>
                </c:pt>
                <c:pt idx="129">
                  <c:v>12.89999999999997</c:v>
                </c:pt>
                <c:pt idx="130">
                  <c:v>12.99999999999997</c:v>
                </c:pt>
                <c:pt idx="131">
                  <c:v>13.099999999999969</c:v>
                </c:pt>
                <c:pt idx="132">
                  <c:v>13.199999999999969</c:v>
                </c:pt>
                <c:pt idx="133">
                  <c:v>13.299999999999969</c:v>
                </c:pt>
                <c:pt idx="134">
                  <c:v>13.399999999999968</c:v>
                </c:pt>
                <c:pt idx="135">
                  <c:v>13.499999999999968</c:v>
                </c:pt>
                <c:pt idx="136">
                  <c:v>13.599999999999968</c:v>
                </c:pt>
                <c:pt idx="137">
                  <c:v>13.699999999999967</c:v>
                </c:pt>
                <c:pt idx="138">
                  <c:v>13.799999999999967</c:v>
                </c:pt>
                <c:pt idx="139">
                  <c:v>13.899999999999967</c:v>
                </c:pt>
                <c:pt idx="140">
                  <c:v>13.999999999999966</c:v>
                </c:pt>
                <c:pt idx="141">
                  <c:v>14.099999999999966</c:v>
                </c:pt>
                <c:pt idx="142">
                  <c:v>14.199999999999966</c:v>
                </c:pt>
                <c:pt idx="143">
                  <c:v>14.299999999999965</c:v>
                </c:pt>
                <c:pt idx="144">
                  <c:v>14.399999999999965</c:v>
                </c:pt>
                <c:pt idx="145">
                  <c:v>14.499999999999964</c:v>
                </c:pt>
                <c:pt idx="146">
                  <c:v>14.599999999999964</c:v>
                </c:pt>
                <c:pt idx="147">
                  <c:v>14.699999999999964</c:v>
                </c:pt>
                <c:pt idx="148">
                  <c:v>14.799999999999963</c:v>
                </c:pt>
                <c:pt idx="149">
                  <c:v>14.899999999999963</c:v>
                </c:pt>
                <c:pt idx="150">
                  <c:v>14.999999999999963</c:v>
                </c:pt>
                <c:pt idx="151">
                  <c:v>15.099999999999962</c:v>
                </c:pt>
                <c:pt idx="152">
                  <c:v>15.199999999999962</c:v>
                </c:pt>
                <c:pt idx="153">
                  <c:v>15.299999999999962</c:v>
                </c:pt>
                <c:pt idx="154">
                  <c:v>15.399999999999961</c:v>
                </c:pt>
                <c:pt idx="155">
                  <c:v>15.499999999999961</c:v>
                </c:pt>
                <c:pt idx="156">
                  <c:v>15.599999999999961</c:v>
                </c:pt>
                <c:pt idx="157">
                  <c:v>15.69999999999996</c:v>
                </c:pt>
                <c:pt idx="158">
                  <c:v>15.79999999999996</c:v>
                </c:pt>
                <c:pt idx="159">
                  <c:v>15.899999999999959</c:v>
                </c:pt>
                <c:pt idx="160">
                  <c:v>15.999999999999959</c:v>
                </c:pt>
                <c:pt idx="161">
                  <c:v>16.099999999999959</c:v>
                </c:pt>
                <c:pt idx="162">
                  <c:v>16.19999999999996</c:v>
                </c:pt>
                <c:pt idx="163">
                  <c:v>16.299999999999962</c:v>
                </c:pt>
                <c:pt idx="164">
                  <c:v>16.399999999999963</c:v>
                </c:pt>
                <c:pt idx="165">
                  <c:v>16.499999999999964</c:v>
                </c:pt>
                <c:pt idx="166">
                  <c:v>16.599999999999966</c:v>
                </c:pt>
                <c:pt idx="167">
                  <c:v>16.699999999999967</c:v>
                </c:pt>
                <c:pt idx="168">
                  <c:v>16.799999999999969</c:v>
                </c:pt>
                <c:pt idx="169">
                  <c:v>16.89999999999997</c:v>
                </c:pt>
                <c:pt idx="170">
                  <c:v>16.999999999999972</c:v>
                </c:pt>
                <c:pt idx="171">
                  <c:v>17.099999999999973</c:v>
                </c:pt>
                <c:pt idx="172">
                  <c:v>17.199999999999974</c:v>
                </c:pt>
                <c:pt idx="173">
                  <c:v>17.299999999999976</c:v>
                </c:pt>
                <c:pt idx="174">
                  <c:v>17.399999999999977</c:v>
                </c:pt>
                <c:pt idx="175">
                  <c:v>17.499999999999979</c:v>
                </c:pt>
                <c:pt idx="176">
                  <c:v>17.59999999999998</c:v>
                </c:pt>
                <c:pt idx="177">
                  <c:v>17.699999999999982</c:v>
                </c:pt>
                <c:pt idx="178">
                  <c:v>17.799999999999983</c:v>
                </c:pt>
                <c:pt idx="179">
                  <c:v>17.899999999999984</c:v>
                </c:pt>
                <c:pt idx="180">
                  <c:v>17.999999999999986</c:v>
                </c:pt>
                <c:pt idx="181">
                  <c:v>18.099999999999987</c:v>
                </c:pt>
                <c:pt idx="182">
                  <c:v>18.199999999999989</c:v>
                </c:pt>
                <c:pt idx="183">
                  <c:v>18.29999999999999</c:v>
                </c:pt>
                <c:pt idx="184">
                  <c:v>18.399999999999991</c:v>
                </c:pt>
                <c:pt idx="185">
                  <c:v>18.499999999999993</c:v>
                </c:pt>
                <c:pt idx="186">
                  <c:v>18.599999999999994</c:v>
                </c:pt>
                <c:pt idx="187">
                  <c:v>18.699999999999996</c:v>
                </c:pt>
                <c:pt idx="188">
                  <c:v>18.799999999999997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19.200000000000003</c:v>
                </c:pt>
                <c:pt idx="193">
                  <c:v>19.300000000000004</c:v>
                </c:pt>
                <c:pt idx="194">
                  <c:v>19.400000000000006</c:v>
                </c:pt>
                <c:pt idx="195">
                  <c:v>19.500000000000007</c:v>
                </c:pt>
                <c:pt idx="196">
                  <c:v>19.600000000000009</c:v>
                </c:pt>
                <c:pt idx="197">
                  <c:v>19.70000000000001</c:v>
                </c:pt>
                <c:pt idx="198">
                  <c:v>19.800000000000011</c:v>
                </c:pt>
                <c:pt idx="199">
                  <c:v>19.900000000000013</c:v>
                </c:pt>
                <c:pt idx="200">
                  <c:v>20.000000000000014</c:v>
                </c:pt>
              </c:numCache>
            </c:numRef>
          </c:xVal>
          <c:yVal>
            <c:numRef>
              <c:f>Male!$D$96:$D$296</c:f>
              <c:numCache>
                <c:formatCode>0.00</c:formatCode>
                <c:ptCount val="201"/>
                <c:pt idx="0">
                  <c:v>0</c:v>
                </c:pt>
                <c:pt idx="1">
                  <c:v>8.3267431610966671</c:v>
                </c:pt>
                <c:pt idx="2">
                  <c:v>16.285750084043435</c:v>
                </c:pt>
                <c:pt idx="3">
                  <c:v>23.889690032017306</c:v>
                </c:pt>
                <c:pt idx="4">
                  <c:v>31.150828438042179</c:v>
                </c:pt>
                <c:pt idx="5">
                  <c:v>38.081039461247549</c:v>
                </c:pt>
                <c:pt idx="6">
                  <c:v>44.691818153610065</c:v>
                </c:pt>
                <c:pt idx="7">
                  <c:v>50.994292249367263</c:v>
                </c:pt>
                <c:pt idx="8">
                  <c:v>56.9992335889022</c:v>
                </c:pt>
                <c:pt idx="9">
                  <c:v>62.717069188527702</c:v>
                </c:pt>
                <c:pt idx="10">
                  <c:v>68.157891967233127</c:v>
                </c:pt>
                <c:pt idx="11">
                  <c:v>73.331471141109148</c:v>
                </c:pt>
                <c:pt idx="12">
                  <c:v>78.247262295823163</c:v>
                </c:pt>
                <c:pt idx="13">
                  <c:v>82.91441714719403</c:v>
                </c:pt>
                <c:pt idx="14">
                  <c:v>87.341792999593679</c:v>
                </c:pt>
                <c:pt idx="15">
                  <c:v>91.537961911596327</c:v>
                </c:pt>
                <c:pt idx="16">
                  <c:v>95.511219578000095</c:v>
                </c:pt>
                <c:pt idx="17">
                  <c:v>99.269593937055632</c:v>
                </c:pt>
                <c:pt idx="18">
                  <c:v>102.82085351145787</c:v>
                </c:pt>
                <c:pt idx="19">
                  <c:v>106.17251549138935</c:v>
                </c:pt>
                <c:pt idx="20">
                  <c:v>109.33185356763803</c:v>
                </c:pt>
                <c:pt idx="21">
                  <c:v>112.3059055225652</c:v>
                </c:pt>
                <c:pt idx="22">
                  <c:v>115.10148058644802</c:v>
                </c:pt>
                <c:pt idx="23">
                  <c:v>117.72516656649047</c:v>
                </c:pt>
                <c:pt idx="24">
                  <c:v>120.18333675556201</c:v>
                </c:pt>
                <c:pt idx="25">
                  <c:v>122.48215662750481</c:v>
                </c:pt>
                <c:pt idx="26">
                  <c:v>124.62759032563295</c:v>
                </c:pt>
                <c:pt idx="27">
                  <c:v>126.62540695084112</c:v>
                </c:pt>
                <c:pt idx="28">
                  <c:v>128.4811866555365</c:v>
                </c:pt>
                <c:pt idx="29">
                  <c:v>130.20032654941531</c:v>
                </c:pt>
                <c:pt idx="30">
                  <c:v>131.78804642291288</c:v>
                </c:pt>
                <c:pt idx="31">
                  <c:v>133.24939429397861</c:v>
                </c:pt>
                <c:pt idx="32">
                  <c:v>134.5892517836441</c:v>
                </c:pt>
                <c:pt idx="33">
                  <c:v>135.81233932568691</c:v>
                </c:pt>
                <c:pt idx="34">
                  <c:v>139.89425531883666</c:v>
                </c:pt>
                <c:pt idx="35">
                  <c:v>137.92631050329734</c:v>
                </c:pt>
                <c:pt idx="36">
                  <c:v>138.82587373600578</c:v>
                </c:pt>
                <c:pt idx="37">
                  <c:v>139.62603555328965</c:v>
                </c:pt>
                <c:pt idx="38">
                  <c:v>140.33078314144996</c:v>
                </c:pt>
                <c:pt idx="39">
                  <c:v>140.94397055004836</c:v>
                </c:pt>
                <c:pt idx="40">
                  <c:v>141.46932287533963</c:v>
                </c:pt>
                <c:pt idx="41">
                  <c:v>141.91044031465074</c:v>
                </c:pt>
                <c:pt idx="42">
                  <c:v>142.27080209568592</c:v>
                </c:pt>
                <c:pt idx="43">
                  <c:v>142.55377028461993</c:v>
                </c:pt>
                <c:pt idx="44">
                  <c:v>142.76259347671436</c:v>
                </c:pt>
                <c:pt idx="45">
                  <c:v>142.90041037308399</c:v>
                </c:pt>
                <c:pt idx="46">
                  <c:v>142.97025324711851</c:v>
                </c:pt>
                <c:pt idx="47">
                  <c:v>142.97505130396283</c:v>
                </c:pt>
                <c:pt idx="48">
                  <c:v>142.91763393634935</c:v>
                </c:pt>
                <c:pt idx="49">
                  <c:v>142.80073387997521</c:v>
                </c:pt>
                <c:pt idx="50">
                  <c:v>142.62699027151686</c:v>
                </c:pt>
                <c:pt idx="51">
                  <c:v>142.39895161227992</c:v>
                </c:pt>
                <c:pt idx="52">
                  <c:v>142.11907864038758</c:v>
                </c:pt>
                <c:pt idx="53">
                  <c:v>141.78974711432221</c:v>
                </c:pt>
                <c:pt idx="54">
                  <c:v>141.41325051054602</c:v>
                </c:pt>
                <c:pt idx="55">
                  <c:v>140.9918026378439</c:v>
                </c:pt>
                <c:pt idx="56">
                  <c:v>140.52754017094801</c:v>
                </c:pt>
                <c:pt idx="57">
                  <c:v>140.02252510592569</c:v>
                </c:pt>
                <c:pt idx="58">
                  <c:v>139.47874713973422</c:v>
                </c:pt>
                <c:pt idx="59">
                  <c:v>138.89812597627289</c:v>
                </c:pt>
                <c:pt idx="60">
                  <c:v>138.28251356118997</c:v>
                </c:pt>
                <c:pt idx="61">
                  <c:v>137.63369624763158</c:v>
                </c:pt>
                <c:pt idx="62">
                  <c:v>136.95339689505508</c:v>
                </c:pt>
                <c:pt idx="63">
                  <c:v>136.243276903159</c:v>
                </c:pt>
                <c:pt idx="64">
                  <c:v>135.50493818292253</c:v>
                </c:pt>
                <c:pt idx="65">
                  <c:v>134.73992506668438</c:v>
                </c:pt>
                <c:pt idx="66">
                  <c:v>133.94972615913056</c:v>
                </c:pt>
                <c:pt idx="67">
                  <c:v>133.1357761310046</c:v>
                </c:pt>
                <c:pt idx="68">
                  <c:v>132.2994574572964</c:v>
                </c:pt>
                <c:pt idx="69">
                  <c:v>131.44210210161231</c:v>
                </c:pt>
                <c:pt idx="70">
                  <c:v>130.56499314837689</c:v>
                </c:pt>
                <c:pt idx="71">
                  <c:v>129.66936638446572</c:v>
                </c:pt>
                <c:pt idx="72">
                  <c:v>128.75641183181875</c:v>
                </c:pt>
                <c:pt idx="73">
                  <c:v>127.82727523253702</c:v>
                </c:pt>
                <c:pt idx="74">
                  <c:v>126.88305948791938</c:v>
                </c:pt>
                <c:pt idx="75">
                  <c:v>125.92482605284954</c:v>
                </c:pt>
                <c:pt idx="76">
                  <c:v>124.95359628690197</c:v>
                </c:pt>
                <c:pt idx="77">
                  <c:v>123.97035276349314</c:v>
                </c:pt>
                <c:pt idx="78">
                  <c:v>122.97604053836197</c:v>
                </c:pt>
                <c:pt idx="79">
                  <c:v>121.97156837862723</c:v>
                </c:pt>
                <c:pt idx="80">
                  <c:v>120.95780995362668</c:v>
                </c:pt>
                <c:pt idx="81">
                  <c:v>119.93560498871148</c:v>
                </c:pt>
                <c:pt idx="82">
                  <c:v>118.90576038312763</c:v>
                </c:pt>
                <c:pt idx="83">
                  <c:v>117.86905129308619</c:v>
                </c:pt>
                <c:pt idx="84">
                  <c:v>116.82622218108725</c:v>
                </c:pt>
                <c:pt idx="85">
                  <c:v>115.77798783253117</c:v>
                </c:pt>
                <c:pt idx="86">
                  <c:v>114.72503434061896</c:v>
                </c:pt>
                <c:pt idx="87">
                  <c:v>113.668020060513</c:v>
                </c:pt>
                <c:pt idx="88">
                  <c:v>112.60757653369838</c:v>
                </c:pt>
                <c:pt idx="89">
                  <c:v>111.54430938345864</c:v>
                </c:pt>
                <c:pt idx="90">
                  <c:v>110.47879918234983</c:v>
                </c:pt>
                <c:pt idx="91">
                  <c:v>109.41160229252969</c:v>
                </c:pt>
                <c:pt idx="92">
                  <c:v>108.34325167977462</c:v>
                </c:pt>
                <c:pt idx="93">
                  <c:v>107.2742577019889</c:v>
                </c:pt>
                <c:pt idx="94">
                  <c:v>106.20510887298802</c:v>
                </c:pt>
                <c:pt idx="95">
                  <c:v>105.13627260231365</c:v>
                </c:pt>
                <c:pt idx="96">
                  <c:v>104.06819591181373</c:v>
                </c:pt>
                <c:pt idx="97">
                  <c:v>103.0013061296998</c:v>
                </c:pt>
                <c:pt idx="98">
                  <c:v>101.93601156277168</c:v>
                </c:pt>
                <c:pt idx="99">
                  <c:v>100.87270214747845</c:v>
                </c:pt>
                <c:pt idx="100">
                  <c:v>99.81175008046354</c:v>
                </c:pt>
                <c:pt idx="101">
                  <c:v>98.753510429224036</c:v>
                </c:pt>
                <c:pt idx="102">
                  <c:v>97.698321723492299</c:v>
                </c:pt>
                <c:pt idx="103">
                  <c:v>96.646506527931749</c:v>
                </c:pt>
                <c:pt idx="104">
                  <c:v>95.598371996719507</c:v>
                </c:pt>
                <c:pt idx="105">
                  <c:v>94.554210410571216</c:v>
                </c:pt>
                <c:pt idx="106">
                  <c:v>93.51429969674669</c:v>
                </c:pt>
                <c:pt idx="107">
                  <c:v>92.478903932558708</c:v>
                </c:pt>
                <c:pt idx="108">
                  <c:v>91.448273832890607</c:v>
                </c:pt>
                <c:pt idx="109">
                  <c:v>90.422647222213968</c:v>
                </c:pt>
                <c:pt idx="110">
                  <c:v>89.402249491582012</c:v>
                </c:pt>
                <c:pt idx="111">
                  <c:v>88.38729404106013</c:v>
                </c:pt>
                <c:pt idx="112">
                  <c:v>87.377982708040619</c:v>
                </c:pt>
                <c:pt idx="113">
                  <c:v>86.37450618187556</c:v>
                </c:pt>
                <c:pt idx="114">
                  <c:v>85.3770444052481</c:v>
                </c:pt>
                <c:pt idx="115">
                  <c:v>84.385766962689956</c:v>
                </c:pt>
                <c:pt idx="116">
                  <c:v>83.400833456640228</c:v>
                </c:pt>
                <c:pt idx="117">
                  <c:v>82.422393871428909</c:v>
                </c:pt>
                <c:pt idx="118">
                  <c:v>81.450588925556758</c:v>
                </c:pt>
                <c:pt idx="119">
                  <c:v>80.485550412631284</c:v>
                </c:pt>
                <c:pt idx="120">
                  <c:v>79.527401531308897</c:v>
                </c:pt>
                <c:pt idx="121">
                  <c:v>78.576257204581012</c:v>
                </c:pt>
                <c:pt idx="122">
                  <c:v>77.63222438873369</c:v>
                </c:pt>
                <c:pt idx="123">
                  <c:v>76.695402372297906</c:v>
                </c:pt>
                <c:pt idx="124">
                  <c:v>75.765883065299946</c:v>
                </c:pt>
                <c:pt idx="125">
                  <c:v>74.843751279111046</c:v>
                </c:pt>
                <c:pt idx="126">
                  <c:v>73.929084997186763</c:v>
                </c:pt>
                <c:pt idx="127">
                  <c:v>73.021955636976614</c:v>
                </c:pt>
                <c:pt idx="128">
                  <c:v>72.12242830327817</c:v>
                </c:pt>
                <c:pt idx="129">
                  <c:v>71.230562033298838</c:v>
                </c:pt>
                <c:pt idx="130">
                  <c:v>70.346410033682545</c:v>
                </c:pt>
                <c:pt idx="131">
                  <c:v>69.470019909750263</c:v>
                </c:pt>
                <c:pt idx="132">
                  <c:v>68.601433887194432</c:v>
                </c:pt>
                <c:pt idx="133">
                  <c:v>67.740689026462618</c:v>
                </c:pt>
                <c:pt idx="134">
                  <c:v>66.887817430055605</c:v>
                </c:pt>
                <c:pt idx="135">
                  <c:v>66.042846442960794</c:v>
                </c:pt>
                <c:pt idx="136">
                  <c:v>65.20579884643378</c:v>
                </c:pt>
                <c:pt idx="137">
                  <c:v>64.376693045334193</c:v>
                </c:pt>
                <c:pt idx="138">
                  <c:v>63.555543249217273</c:v>
                </c:pt>
                <c:pt idx="139">
                  <c:v>62.742359647374087</c:v>
                </c:pt>
                <c:pt idx="140">
                  <c:v>61.937148578010017</c:v>
                </c:pt>
                <c:pt idx="141">
                  <c:v>61.139912691743646</c:v>
                </c:pt>
                <c:pt idx="142">
                  <c:v>60.350651109602531</c:v>
                </c:pt>
                <c:pt idx="143">
                  <c:v>59.569359575688807</c:v>
                </c:pt>
                <c:pt idx="144">
                  <c:v>58.796030604679935</c:v>
                </c:pt>
                <c:pt idx="145">
                  <c:v>58.030653624326717</c:v>
                </c:pt>
                <c:pt idx="146">
                  <c:v>57.273215113104925</c:v>
                </c:pt>
                <c:pt idx="147">
                  <c:v>56.523698733171834</c:v>
                </c:pt>
                <c:pt idx="148">
                  <c:v>55.782085458775676</c:v>
                </c:pt>
                <c:pt idx="149">
                  <c:v>55.04835370025954</c:v>
                </c:pt>
                <c:pt idx="150">
                  <c:v>54.32247942379923</c:v>
                </c:pt>
                <c:pt idx="151">
                  <c:v>53.604436267007912</c:v>
                </c:pt>
                <c:pt idx="152">
                  <c:v>52.894195650538649</c:v>
                </c:pt>
                <c:pt idx="153">
                  <c:v>52.191726885810262</c:v>
                </c:pt>
                <c:pt idx="154">
                  <c:v>51.496997278978704</c:v>
                </c:pt>
                <c:pt idx="155">
                  <c:v>50.809972231272816</c:v>
                </c:pt>
                <c:pt idx="156">
                  <c:v>50.130615335808841</c:v>
                </c:pt>
                <c:pt idx="157">
                  <c:v>49.458888470995525</c:v>
                </c:pt>
                <c:pt idx="158">
                  <c:v>48.794751890637478</c:v>
                </c:pt>
                <c:pt idx="159">
                  <c:v>48.138164310841496</c:v>
                </c:pt>
                <c:pt idx="160">
                  <c:v>47.489082993827488</c:v>
                </c:pt>
                <c:pt idx="161">
                  <c:v>46.847463828742001</c:v>
                </c:pt>
                <c:pt idx="162">
                  <c:v>46.213261409570435</c:v>
                </c:pt>
                <c:pt idx="163">
                  <c:v>45.586429110239671</c:v>
                </c:pt>
                <c:pt idx="164">
                  <c:v>44.966919157001044</c:v>
                </c:pt>
                <c:pt idx="165">
                  <c:v>44.354682698180675</c:v>
                </c:pt>
                <c:pt idx="166">
                  <c:v>43.749669871381279</c:v>
                </c:pt>
                <c:pt idx="167">
                  <c:v>43.151829868217078</c:v>
                </c:pt>
                <c:pt idx="168">
                  <c:v>42.561110996661057</c:v>
                </c:pt>
                <c:pt idx="169">
                  <c:v>41.977460741081416</c:v>
                </c:pt>
                <c:pt idx="170">
                  <c:v>41.400825820041156</c:v>
                </c:pt>
                <c:pt idx="171">
                  <c:v>40.83115224193368</c:v>
                </c:pt>
                <c:pt idx="172">
                  <c:v>40.268385358523361</c:v>
                </c:pt>
                <c:pt idx="173">
                  <c:v>39.712469916459845</c:v>
                </c:pt>
                <c:pt idx="174">
                  <c:v>39.163350106830819</c:v>
                </c:pt>
                <c:pt idx="175">
                  <c:v>38.620969612817682</c:v>
                </c:pt>
                <c:pt idx="176">
                  <c:v>38.08527165551525</c:v>
                </c:pt>
                <c:pt idx="177">
                  <c:v>37.556199037975695</c:v>
                </c:pt>
                <c:pt idx="178">
                  <c:v>37.033694187534465</c:v>
                </c:pt>
                <c:pt idx="179">
                  <c:v>36.517699196474432</c:v>
                </c:pt>
                <c:pt idx="180">
                  <c:v>36.008155861082827</c:v>
                </c:pt>
                <c:pt idx="181">
                  <c:v>35.505005719153601</c:v>
                </c:pt>
                <c:pt idx="182">
                  <c:v>35.008190085986321</c:v>
                </c:pt>
                <c:pt idx="183">
                  <c:v>34.517650088931397</c:v>
                </c:pt>
                <c:pt idx="184">
                  <c:v>34.033326700529599</c:v>
                </c:pt>
                <c:pt idx="185">
                  <c:v>33.555160770292126</c:v>
                </c:pt>
                <c:pt idx="186">
                  <c:v>33.083093055166934</c:v>
                </c:pt>
                <c:pt idx="187">
                  <c:v>32.617064248734494</c:v>
                </c:pt>
                <c:pt idx="188">
                  <c:v>32.157015009175588</c:v>
                </c:pt>
                <c:pt idx="189">
                  <c:v>31.702885986052365</c:v>
                </c:pt>
                <c:pt idx="190">
                  <c:v>31.254617845942018</c:v>
                </c:pt>
                <c:pt idx="191">
                  <c:v>30.812151296962082</c:v>
                </c:pt>
                <c:pt idx="192">
                  <c:v>30.375427112224415</c:v>
                </c:pt>
                <c:pt idx="193">
                  <c:v>29.944386152254154</c:v>
                </c:pt>
                <c:pt idx="194">
                  <c:v>29.518969386408738</c:v>
                </c:pt>
                <c:pt idx="195">
                  <c:v>29.099117913330907</c:v>
                </c:pt>
                <c:pt idx="196">
                  <c:v>28.684772980468701</c:v>
                </c:pt>
                <c:pt idx="197">
                  <c:v>28.275876002694066</c:v>
                </c:pt>
                <c:pt idx="198">
                  <c:v>27.87236858005156</c:v>
                </c:pt>
                <c:pt idx="199">
                  <c:v>27.474192514666242</c:v>
                </c:pt>
                <c:pt idx="200">
                  <c:v>27.081289826840514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F9-4F39-8CA9-43EED35E2BED}"/>
            </c:ext>
          </c:extLst>
        </c:ser>
        <c:ser>
          <c:idx val="2"/>
          <c:order val="2"/>
          <c:tx>
            <c:v>Mother raw data</c:v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Male!$C$41:$C$46</c:f>
              <c:numCache>
                <c:formatCode>0.00</c:formatCode>
                <c:ptCount val="6"/>
                <c:pt idx="0">
                  <c:v>1.0833333333333333</c:v>
                </c:pt>
                <c:pt idx="1">
                  <c:v>1.9375</c:v>
                </c:pt>
                <c:pt idx="2">
                  <c:v>3.0208333333333335</c:v>
                </c:pt>
                <c:pt idx="3">
                  <c:v>4.041666666666667</c:v>
                </c:pt>
                <c:pt idx="4">
                  <c:v>13.020833333333334</c:v>
                </c:pt>
                <c:pt idx="5">
                  <c:v>14</c:v>
                </c:pt>
              </c:numCache>
            </c:numRef>
          </c:xVal>
          <c:yVal>
            <c:numRef>
              <c:f>Male!$G$41:$G$46</c:f>
              <c:numCache>
                <c:formatCode>0.0</c:formatCode>
                <c:ptCount val="6"/>
                <c:pt idx="0">
                  <c:v>790.03308000000015</c:v>
                </c:pt>
                <c:pt idx="1">
                  <c:v>739.13605000000007</c:v>
                </c:pt>
                <c:pt idx="2">
                  <c:v>613.19629999999995</c:v>
                </c:pt>
                <c:pt idx="3">
                  <c:v>512.44450000000006</c:v>
                </c:pt>
                <c:pt idx="4">
                  <c:v>106.83164999999997</c:v>
                </c:pt>
                <c:pt idx="5">
                  <c:v>80.775149999999996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F9-4F39-8CA9-43EED35E2BED}"/>
            </c:ext>
          </c:extLst>
        </c:ser>
        <c:ser>
          <c:idx val="3"/>
          <c:order val="3"/>
          <c:tx>
            <c:v>Baby raw data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Male!$C$53:$C$58</c:f>
              <c:numCache>
                <c:formatCode>0.00</c:formatCode>
                <c:ptCount val="6"/>
                <c:pt idx="0">
                  <c:v>1.09375</c:v>
                </c:pt>
                <c:pt idx="1">
                  <c:v>1.9479166666666665</c:v>
                </c:pt>
                <c:pt idx="2">
                  <c:v>3.03125</c:v>
                </c:pt>
                <c:pt idx="3">
                  <c:v>4.052083333333333</c:v>
                </c:pt>
                <c:pt idx="4">
                  <c:v>13.03125</c:v>
                </c:pt>
                <c:pt idx="5">
                  <c:v>14.010416666666666</c:v>
                </c:pt>
              </c:numCache>
            </c:numRef>
          </c:xVal>
          <c:yVal>
            <c:numRef>
              <c:f>Male!$G$53:$G$58</c:f>
              <c:numCache>
                <c:formatCode>0.0</c:formatCode>
                <c:ptCount val="6"/>
                <c:pt idx="0">
                  <c:v>72.610780000000034</c:v>
                </c:pt>
                <c:pt idx="1">
                  <c:v>100.92551000000003</c:v>
                </c:pt>
                <c:pt idx="2">
                  <c:v>137.57831999999996</c:v>
                </c:pt>
                <c:pt idx="3">
                  <c:v>142.96332999999998</c:v>
                </c:pt>
                <c:pt idx="4">
                  <c:v>70.352550000000008</c:v>
                </c:pt>
                <c:pt idx="5">
                  <c:v>59.58253000000002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3F9-4F39-8CA9-43EED35E2B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36512"/>
        <c:axId val="50739072"/>
      </c:scatterChart>
      <c:valAx>
        <c:axId val="50736512"/>
        <c:scaling>
          <c:orientation val="minMax"/>
          <c:max val="20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Geneva"/>
                    <a:ea typeface="Geneva"/>
                    <a:cs typeface="Geneva"/>
                  </a:defRPr>
                </a:pPr>
                <a:r>
                  <a:rPr lang="fr-FR" sz="1200">
                    <a:effectLst/>
                    <a:latin typeface="Arial"/>
                    <a:ea typeface="Times New Roman"/>
                  </a:rPr>
                  <a:t>Time (Days</a:t>
                </a:r>
                <a:r>
                  <a:rPr lang="fr-FR" sz="900">
                    <a:effectLst/>
                    <a:latin typeface="Arial"/>
                    <a:ea typeface="Times New Roman"/>
                  </a:rPr>
                  <a:t>)</a:t>
                </a:r>
                <a:endParaRPr lang="en-GB" sz="1100">
                  <a:effectLst/>
                  <a:latin typeface="Times New Roman"/>
                  <a:ea typeface="Times New Roman"/>
                </a:endParaRPr>
              </a:p>
            </c:rich>
          </c:tx>
          <c:layout>
            <c:manualLayout>
              <c:xMode val="edge"/>
              <c:yMode val="edge"/>
              <c:x val="0.41228131571272886"/>
              <c:y val="0.8906689063867017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50739072"/>
        <c:crosses val="autoZero"/>
        <c:crossBetween val="midCat"/>
      </c:valAx>
      <c:valAx>
        <c:axId val="50739072"/>
        <c:scaling>
          <c:orientation val="minMax"/>
          <c:max val="1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900" b="1" i="0" u="none" strike="noStrike" baseline="30000">
                    <a:solidFill>
                      <a:srgbClr val="000000"/>
                    </a:solidFill>
                    <a:latin typeface="Geneva"/>
                  </a:rPr>
                  <a:t>2</a:t>
                </a:r>
                <a:r>
                  <a:rPr lang="en-GB" sz="900" b="1" i="0" u="none" strike="noStrike" baseline="0">
                    <a:solidFill>
                      <a:srgbClr val="000000"/>
                    </a:solidFill>
                    <a:latin typeface="Geneva"/>
                  </a:rPr>
                  <a:t>H enrichment (mg/kg)</a:t>
                </a:r>
              </a:p>
            </c:rich>
          </c:tx>
          <c:layout>
            <c:manualLayout>
              <c:xMode val="edge"/>
              <c:yMode val="edge"/>
              <c:x val="1.7543859649122813E-2"/>
              <c:y val="0.32800083989501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5073651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r>
              <a:rPr lang="en-US"/>
              <a:t>2H Kinetics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strRef>
              <c:f>Calcs!#REF!</c:f>
              <c:strCache>
                <c:ptCount val="1"/>
                <c:pt idx="0">
                  <c:v>#REF!</c:v>
                </c:pt>
              </c:strCache>
            </c:strRef>
          </c:xVal>
          <c:yVal>
            <c:numRef>
              <c:f>Calcs!#REF!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Calcs!#REF!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244D-4A75-A382-1FB182D563C8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strRef>
              <c:f>Calcs!#REF!</c:f>
              <c:strCache>
                <c:ptCount val="1"/>
                <c:pt idx="0">
                  <c:v>#REF!</c:v>
                </c:pt>
              </c:strCache>
            </c:strRef>
          </c:xVal>
          <c:yVal>
            <c:numRef>
              <c:f>Calcs!#REF!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Calcs!#REF!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244D-4A75-A382-1FB182D563C8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strRef>
              <c:f>Calcs!#REF!</c:f>
              <c:strCache>
                <c:ptCount val="1"/>
                <c:pt idx="0">
                  <c:v>#REF!</c:v>
                </c:pt>
              </c:strCache>
            </c:strRef>
          </c:xVal>
          <c:yVal>
            <c:numRef>
              <c:f>Calcs!#REF!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44D-4A75-A382-1FB182D563C8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xVal>
            <c:strRef>
              <c:f>Calcs!#REF!</c:f>
              <c:strCache>
                <c:ptCount val="1"/>
                <c:pt idx="0">
                  <c:v>#REF!</c:v>
                </c:pt>
              </c:strCache>
            </c:strRef>
          </c:xVal>
          <c:yVal>
            <c:numRef>
              <c:f>Calcs!#REF!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44D-4A75-A382-1FB182D56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65120"/>
        <c:axId val="50567040"/>
      </c:scatterChart>
      <c:valAx>
        <c:axId val="505651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50567040"/>
        <c:crosses val="autoZero"/>
        <c:crossBetween val="midCat"/>
      </c:valAx>
      <c:valAx>
        <c:axId val="5056704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50565120"/>
        <c:crosses val="autoZero"/>
        <c:crossBetween val="midCat"/>
      </c:valAx>
      <c:spPr>
        <a:solidFill>
          <a:srgbClr val="00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11" r="0.7500000000000001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r>
              <a:rPr lang="en-GB" sz="1200" b="1" i="0" u="none" strike="noStrike" baseline="30000">
                <a:solidFill>
                  <a:srgbClr val="000000"/>
                </a:solidFill>
                <a:latin typeface="Geneva"/>
              </a:rPr>
              <a:t>2</a:t>
            </a:r>
            <a:r>
              <a:rPr lang="en-GB" sz="1200" b="1" i="0" u="none" strike="noStrike" baseline="0">
                <a:solidFill>
                  <a:srgbClr val="000000"/>
                </a:solidFill>
                <a:latin typeface="Geneva"/>
              </a:rPr>
              <a:t>H Kinetics</a:t>
            </a:r>
          </a:p>
        </c:rich>
      </c:tx>
      <c:layout>
        <c:manualLayout>
          <c:xMode val="edge"/>
          <c:yMode val="edge"/>
          <c:x val="0.43567312857822593"/>
          <c:y val="3.20000000000000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57326013863211"/>
          <c:y val="0.18400047916791454"/>
          <c:w val="0.70175538787718705"/>
          <c:h val="0.62666829861536111"/>
        </c:manualLayout>
      </c:layout>
      <c:scatterChart>
        <c:scatterStyle val="lineMarker"/>
        <c:varyColors val="0"/>
        <c:ser>
          <c:idx val="0"/>
          <c:order val="0"/>
          <c:tx>
            <c:strRef>
              <c:f>Female!$B$94</c:f>
              <c:strCache>
                <c:ptCount val="1"/>
                <c:pt idx="0">
                  <c:v>Mother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Female!$A$96:$A$296</c:f>
              <c:numCache>
                <c:formatCode>0.00</c:formatCode>
                <c:ptCount val="2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5.0999999999999979</c:v>
                </c:pt>
                <c:pt idx="52">
                  <c:v>5.1999999999999975</c:v>
                </c:pt>
                <c:pt idx="53">
                  <c:v>5.2999999999999972</c:v>
                </c:pt>
                <c:pt idx="54">
                  <c:v>5.3999999999999968</c:v>
                </c:pt>
                <c:pt idx="55">
                  <c:v>5.4999999999999964</c:v>
                </c:pt>
                <c:pt idx="56">
                  <c:v>5.5999999999999961</c:v>
                </c:pt>
                <c:pt idx="57">
                  <c:v>5.6999999999999957</c:v>
                </c:pt>
                <c:pt idx="58">
                  <c:v>5.7999999999999954</c:v>
                </c:pt>
                <c:pt idx="59">
                  <c:v>5.899999999999995</c:v>
                </c:pt>
                <c:pt idx="60">
                  <c:v>5.9999999999999947</c:v>
                </c:pt>
                <c:pt idx="61">
                  <c:v>6.0999999999999943</c:v>
                </c:pt>
                <c:pt idx="62">
                  <c:v>6.199999999999994</c:v>
                </c:pt>
                <c:pt idx="63">
                  <c:v>6.2999999999999936</c:v>
                </c:pt>
                <c:pt idx="64">
                  <c:v>6.3999999999999932</c:v>
                </c:pt>
                <c:pt idx="65">
                  <c:v>6.4999999999999929</c:v>
                </c:pt>
                <c:pt idx="66">
                  <c:v>6.5999999999999925</c:v>
                </c:pt>
                <c:pt idx="67">
                  <c:v>6.6999999999999922</c:v>
                </c:pt>
                <c:pt idx="68">
                  <c:v>6.7999999999999918</c:v>
                </c:pt>
                <c:pt idx="69">
                  <c:v>6.8999999999999915</c:v>
                </c:pt>
                <c:pt idx="70">
                  <c:v>6.9999999999999911</c:v>
                </c:pt>
                <c:pt idx="71">
                  <c:v>7.0999999999999908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7.4999999999999893</c:v>
                </c:pt>
                <c:pt idx="76">
                  <c:v>7.599999999999989</c:v>
                </c:pt>
                <c:pt idx="77">
                  <c:v>7.6999999999999886</c:v>
                </c:pt>
                <c:pt idx="78">
                  <c:v>7.7999999999999883</c:v>
                </c:pt>
                <c:pt idx="79">
                  <c:v>7.8999999999999879</c:v>
                </c:pt>
                <c:pt idx="80">
                  <c:v>7.9999999999999876</c:v>
                </c:pt>
                <c:pt idx="81">
                  <c:v>8.0999999999999872</c:v>
                </c:pt>
                <c:pt idx="82">
                  <c:v>8.1999999999999869</c:v>
                </c:pt>
                <c:pt idx="83">
                  <c:v>8.2999999999999865</c:v>
                </c:pt>
                <c:pt idx="84">
                  <c:v>8.3999999999999861</c:v>
                </c:pt>
                <c:pt idx="85">
                  <c:v>8.4999999999999858</c:v>
                </c:pt>
                <c:pt idx="86">
                  <c:v>8.5999999999999854</c:v>
                </c:pt>
                <c:pt idx="87">
                  <c:v>8.6999999999999851</c:v>
                </c:pt>
                <c:pt idx="88">
                  <c:v>8.7999999999999847</c:v>
                </c:pt>
                <c:pt idx="89">
                  <c:v>8.8999999999999844</c:v>
                </c:pt>
                <c:pt idx="90">
                  <c:v>8.999999999999984</c:v>
                </c:pt>
                <c:pt idx="91">
                  <c:v>9.0999999999999837</c:v>
                </c:pt>
                <c:pt idx="92">
                  <c:v>9.1999999999999833</c:v>
                </c:pt>
                <c:pt idx="93">
                  <c:v>9.2999999999999829</c:v>
                </c:pt>
                <c:pt idx="94">
                  <c:v>9.3999999999999826</c:v>
                </c:pt>
                <c:pt idx="95">
                  <c:v>9.4999999999999822</c:v>
                </c:pt>
                <c:pt idx="96">
                  <c:v>9.5999999999999819</c:v>
                </c:pt>
                <c:pt idx="97">
                  <c:v>9.6999999999999815</c:v>
                </c:pt>
                <c:pt idx="98">
                  <c:v>9.7999999999999812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10.09999999999998</c:v>
                </c:pt>
                <c:pt idx="102">
                  <c:v>10.19999999999998</c:v>
                </c:pt>
                <c:pt idx="103">
                  <c:v>10.299999999999979</c:v>
                </c:pt>
                <c:pt idx="104">
                  <c:v>10.399999999999979</c:v>
                </c:pt>
                <c:pt idx="105">
                  <c:v>10.499999999999979</c:v>
                </c:pt>
                <c:pt idx="106">
                  <c:v>10.599999999999978</c:v>
                </c:pt>
                <c:pt idx="107">
                  <c:v>10.699999999999978</c:v>
                </c:pt>
                <c:pt idx="108">
                  <c:v>10.799999999999978</c:v>
                </c:pt>
                <c:pt idx="109">
                  <c:v>10.899999999999977</c:v>
                </c:pt>
                <c:pt idx="110">
                  <c:v>10.999999999999977</c:v>
                </c:pt>
                <c:pt idx="111">
                  <c:v>11.099999999999977</c:v>
                </c:pt>
                <c:pt idx="112">
                  <c:v>11.199999999999976</c:v>
                </c:pt>
                <c:pt idx="113">
                  <c:v>11.299999999999976</c:v>
                </c:pt>
                <c:pt idx="114">
                  <c:v>11.399999999999975</c:v>
                </c:pt>
                <c:pt idx="115">
                  <c:v>11.499999999999975</c:v>
                </c:pt>
                <c:pt idx="116">
                  <c:v>11.599999999999975</c:v>
                </c:pt>
                <c:pt idx="117">
                  <c:v>11.699999999999974</c:v>
                </c:pt>
                <c:pt idx="118">
                  <c:v>11.799999999999974</c:v>
                </c:pt>
                <c:pt idx="119">
                  <c:v>11.899999999999974</c:v>
                </c:pt>
                <c:pt idx="120">
                  <c:v>11.999999999999973</c:v>
                </c:pt>
                <c:pt idx="121">
                  <c:v>12.099999999999973</c:v>
                </c:pt>
                <c:pt idx="122">
                  <c:v>12.199999999999973</c:v>
                </c:pt>
                <c:pt idx="123">
                  <c:v>12.299999999999972</c:v>
                </c:pt>
                <c:pt idx="124">
                  <c:v>12.399999999999972</c:v>
                </c:pt>
                <c:pt idx="125">
                  <c:v>12.499999999999972</c:v>
                </c:pt>
                <c:pt idx="126">
                  <c:v>12.599999999999971</c:v>
                </c:pt>
                <c:pt idx="127">
                  <c:v>12.699999999999971</c:v>
                </c:pt>
                <c:pt idx="128">
                  <c:v>12.799999999999971</c:v>
                </c:pt>
                <c:pt idx="129">
                  <c:v>12.89999999999997</c:v>
                </c:pt>
                <c:pt idx="130">
                  <c:v>12.99999999999997</c:v>
                </c:pt>
                <c:pt idx="131">
                  <c:v>13.099999999999969</c:v>
                </c:pt>
                <c:pt idx="132">
                  <c:v>13.199999999999969</c:v>
                </c:pt>
                <c:pt idx="133">
                  <c:v>13.299999999999969</c:v>
                </c:pt>
                <c:pt idx="134">
                  <c:v>13.399999999999968</c:v>
                </c:pt>
                <c:pt idx="135">
                  <c:v>13.499999999999968</c:v>
                </c:pt>
                <c:pt idx="136">
                  <c:v>13.599999999999968</c:v>
                </c:pt>
                <c:pt idx="137">
                  <c:v>13.699999999999967</c:v>
                </c:pt>
                <c:pt idx="138">
                  <c:v>13.799999999999967</c:v>
                </c:pt>
                <c:pt idx="139">
                  <c:v>13.899999999999967</c:v>
                </c:pt>
                <c:pt idx="140">
                  <c:v>13.999999999999966</c:v>
                </c:pt>
                <c:pt idx="141">
                  <c:v>14.099999999999966</c:v>
                </c:pt>
                <c:pt idx="142">
                  <c:v>14.199999999999966</c:v>
                </c:pt>
                <c:pt idx="143">
                  <c:v>14.299999999999965</c:v>
                </c:pt>
                <c:pt idx="144">
                  <c:v>14.399999999999965</c:v>
                </c:pt>
                <c:pt idx="145">
                  <c:v>14.499999999999964</c:v>
                </c:pt>
                <c:pt idx="146">
                  <c:v>14.599999999999964</c:v>
                </c:pt>
                <c:pt idx="147">
                  <c:v>14.699999999999964</c:v>
                </c:pt>
                <c:pt idx="148">
                  <c:v>14.799999999999963</c:v>
                </c:pt>
                <c:pt idx="149">
                  <c:v>14.899999999999963</c:v>
                </c:pt>
                <c:pt idx="150">
                  <c:v>14.999999999999963</c:v>
                </c:pt>
                <c:pt idx="151">
                  <c:v>15.099999999999962</c:v>
                </c:pt>
                <c:pt idx="152">
                  <c:v>15.199999999999962</c:v>
                </c:pt>
                <c:pt idx="153">
                  <c:v>15.299999999999962</c:v>
                </c:pt>
                <c:pt idx="154">
                  <c:v>15.399999999999961</c:v>
                </c:pt>
                <c:pt idx="155">
                  <c:v>15.499999999999961</c:v>
                </c:pt>
                <c:pt idx="156">
                  <c:v>15.599999999999961</c:v>
                </c:pt>
                <c:pt idx="157">
                  <c:v>15.69999999999996</c:v>
                </c:pt>
                <c:pt idx="158">
                  <c:v>15.79999999999996</c:v>
                </c:pt>
                <c:pt idx="159">
                  <c:v>15.899999999999959</c:v>
                </c:pt>
                <c:pt idx="160">
                  <c:v>15.999999999999959</c:v>
                </c:pt>
                <c:pt idx="161">
                  <c:v>16.099999999999959</c:v>
                </c:pt>
                <c:pt idx="162">
                  <c:v>16.19999999999996</c:v>
                </c:pt>
                <c:pt idx="163">
                  <c:v>16.299999999999962</c:v>
                </c:pt>
                <c:pt idx="164">
                  <c:v>16.399999999999963</c:v>
                </c:pt>
                <c:pt idx="165">
                  <c:v>16.499999999999964</c:v>
                </c:pt>
                <c:pt idx="166">
                  <c:v>16.599999999999966</c:v>
                </c:pt>
                <c:pt idx="167">
                  <c:v>16.699999999999967</c:v>
                </c:pt>
                <c:pt idx="168">
                  <c:v>16.799999999999969</c:v>
                </c:pt>
                <c:pt idx="169">
                  <c:v>16.89999999999997</c:v>
                </c:pt>
                <c:pt idx="170">
                  <c:v>16.999999999999972</c:v>
                </c:pt>
                <c:pt idx="171">
                  <c:v>17.099999999999973</c:v>
                </c:pt>
                <c:pt idx="172">
                  <c:v>17.199999999999974</c:v>
                </c:pt>
                <c:pt idx="173">
                  <c:v>17.299999999999976</c:v>
                </c:pt>
                <c:pt idx="174">
                  <c:v>17.399999999999977</c:v>
                </c:pt>
                <c:pt idx="175">
                  <c:v>17.499999999999979</c:v>
                </c:pt>
                <c:pt idx="176">
                  <c:v>17.59999999999998</c:v>
                </c:pt>
                <c:pt idx="177">
                  <c:v>17.699999999999982</c:v>
                </c:pt>
                <c:pt idx="178">
                  <c:v>17.799999999999983</c:v>
                </c:pt>
                <c:pt idx="179">
                  <c:v>17.899999999999984</c:v>
                </c:pt>
                <c:pt idx="180">
                  <c:v>17.999999999999986</c:v>
                </c:pt>
                <c:pt idx="181">
                  <c:v>18.099999999999987</c:v>
                </c:pt>
                <c:pt idx="182">
                  <c:v>18.199999999999989</c:v>
                </c:pt>
                <c:pt idx="183">
                  <c:v>18.29999999999999</c:v>
                </c:pt>
                <c:pt idx="184">
                  <c:v>18.399999999999991</c:v>
                </c:pt>
                <c:pt idx="185">
                  <c:v>18.499999999999993</c:v>
                </c:pt>
                <c:pt idx="186">
                  <c:v>18.599999999999994</c:v>
                </c:pt>
                <c:pt idx="187">
                  <c:v>18.699999999999996</c:v>
                </c:pt>
                <c:pt idx="188">
                  <c:v>18.799999999999997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19.200000000000003</c:v>
                </c:pt>
                <c:pt idx="193">
                  <c:v>19.300000000000004</c:v>
                </c:pt>
                <c:pt idx="194">
                  <c:v>19.400000000000006</c:v>
                </c:pt>
                <c:pt idx="195">
                  <c:v>19.500000000000007</c:v>
                </c:pt>
                <c:pt idx="196">
                  <c:v>19.600000000000009</c:v>
                </c:pt>
                <c:pt idx="197">
                  <c:v>19.70000000000001</c:v>
                </c:pt>
                <c:pt idx="198">
                  <c:v>19.800000000000011</c:v>
                </c:pt>
                <c:pt idx="199">
                  <c:v>19.900000000000013</c:v>
                </c:pt>
                <c:pt idx="200">
                  <c:v>20.000000000000014</c:v>
                </c:pt>
              </c:numCache>
            </c:numRef>
          </c:xVal>
          <c:yVal>
            <c:numRef>
              <c:f>Female!$B$96:$B$296</c:f>
              <c:numCache>
                <c:formatCode>0.00</c:formatCode>
                <c:ptCount val="201"/>
                <c:pt idx="0">
                  <c:v>980.03422981702874</c:v>
                </c:pt>
                <c:pt idx="1">
                  <c:v>964.18451954788793</c:v>
                </c:pt>
                <c:pt idx="2">
                  <c:v>948.5911404434886</c:v>
                </c:pt>
                <c:pt idx="3">
                  <c:v>933.24994696016495</c:v>
                </c:pt>
                <c:pt idx="4">
                  <c:v>918.15686059850657</c:v>
                </c:pt>
                <c:pt idx="5">
                  <c:v>903.30786881907943</c:v>
                </c:pt>
                <c:pt idx="6">
                  <c:v>888.69902397567989</c:v>
                </c:pt>
                <c:pt idx="7">
                  <c:v>874.3264422658425</c:v>
                </c:pt>
                <c:pt idx="8">
                  <c:v>860.18630269831988</c:v>
                </c:pt>
                <c:pt idx="9">
                  <c:v>846.2748460772616</c:v>
                </c:pt>
                <c:pt idx="10">
                  <c:v>832.58837400282118</c:v>
                </c:pt>
                <c:pt idx="11">
                  <c:v>819.12324788792682</c:v>
                </c:pt>
                <c:pt idx="12">
                  <c:v>805.87588799095124</c:v>
                </c:pt>
                <c:pt idx="13">
                  <c:v>792.84277246402951</c:v>
                </c:pt>
                <c:pt idx="14">
                  <c:v>780.02043641676369</c:v>
                </c:pt>
                <c:pt idx="15">
                  <c:v>767.40547099507353</c:v>
                </c:pt>
                <c:pt idx="16">
                  <c:v>754.9945224749423</c:v>
                </c:pt>
                <c:pt idx="17">
                  <c:v>742.78429137082026</c:v>
                </c:pt>
                <c:pt idx="18">
                  <c:v>730.77153155844655</c:v>
                </c:pt>
                <c:pt idx="19">
                  <c:v>718.9530494118585</c:v>
                </c:pt>
                <c:pt idx="20">
                  <c:v>707.3257029543571</c:v>
                </c:pt>
                <c:pt idx="21">
                  <c:v>695.88640102320301</c:v>
                </c:pt>
                <c:pt idx="22">
                  <c:v>684.63210244782351</c:v>
                </c:pt>
                <c:pt idx="23">
                  <c:v>673.55981524130755</c:v>
                </c:pt>
                <c:pt idx="24">
                  <c:v>662.66659580497833</c:v>
                </c:pt>
                <c:pt idx="25">
                  <c:v>651.949548145829</c:v>
                </c:pt>
                <c:pt idx="26">
                  <c:v>641.40582310661489</c:v>
                </c:pt>
                <c:pt idx="27">
                  <c:v>631.03261760839712</c:v>
                </c:pt>
                <c:pt idx="28">
                  <c:v>620.82717390533583</c:v>
                </c:pt>
                <c:pt idx="29">
                  <c:v>610.78677885153627</c:v>
                </c:pt>
                <c:pt idx="30">
                  <c:v>600.90876317975096</c:v>
                </c:pt>
                <c:pt idx="31">
                  <c:v>591.19050079174735</c:v>
                </c:pt>
                <c:pt idx="32">
                  <c:v>581.62940806015285</c:v>
                </c:pt>
                <c:pt idx="33">
                  <c:v>572.22294314158921</c:v>
                </c:pt>
                <c:pt idx="34">
                  <c:v>562.96860530091749</c:v>
                </c:pt>
                <c:pt idx="35">
                  <c:v>553.86393424640983</c:v>
                </c:pt>
                <c:pt idx="36">
                  <c:v>544.90650947567394</c:v>
                </c:pt>
                <c:pt idx="37">
                  <c:v>536.0939496321563</c:v>
                </c:pt>
                <c:pt idx="38">
                  <c:v>527.42391187205124</c:v>
                </c:pt>
                <c:pt idx="39">
                  <c:v>518.8940912414497</c:v>
                </c:pt>
                <c:pt idx="40">
                  <c:v>510.50222006356086</c:v>
                </c:pt>
                <c:pt idx="41">
                  <c:v>502.24606733584312</c:v>
                </c:pt>
                <c:pt idx="42">
                  <c:v>494.12343813688676</c:v>
                </c:pt>
                <c:pt idx="43">
                  <c:v>486.13217304288742</c:v>
                </c:pt>
                <c:pt idx="44">
                  <c:v>478.27014755355714</c:v>
                </c:pt>
                <c:pt idx="45">
                  <c:v>470.53527152732045</c:v>
                </c:pt>
                <c:pt idx="46">
                  <c:v>462.92548862564377</c:v>
                </c:pt>
                <c:pt idx="47">
                  <c:v>455.43877576635236</c:v>
                </c:pt>
                <c:pt idx="48">
                  <c:v>448.07314258578822</c:v>
                </c:pt>
                <c:pt idx="49">
                  <c:v>440.82663090966645</c:v>
                </c:pt>
                <c:pt idx="50">
                  <c:v>433.69731423248857</c:v>
                </c:pt>
                <c:pt idx="51">
                  <c:v>426.68329720537633</c:v>
                </c:pt>
                <c:pt idx="52">
                  <c:v>419.78271513218743</c:v>
                </c:pt>
                <c:pt idx="53">
                  <c:v>412.99373347378082</c:v>
                </c:pt>
                <c:pt idx="54">
                  <c:v>406.31454736029957</c:v>
                </c:pt>
                <c:pt idx="55">
                  <c:v>399.74338111134085</c:v>
                </c:pt>
                <c:pt idx="56">
                  <c:v>393.27848776388674</c:v>
                </c:pt>
                <c:pt idx="57">
                  <c:v>386.91814860786849</c:v>
                </c:pt>
                <c:pt idx="58">
                  <c:v>380.66067272924329</c:v>
                </c:pt>
                <c:pt idx="59">
                  <c:v>374.50439656045967</c:v>
                </c:pt>
                <c:pt idx="60">
                  <c:v>368.44768343819362</c:v>
                </c:pt>
                <c:pt idx="61">
                  <c:v>362.48892316823674</c:v>
                </c:pt>
                <c:pt idx="62">
                  <c:v>356.62653159742189</c:v>
                </c:pt>
                <c:pt idx="63">
                  <c:v>350.8589501924713</c:v>
                </c:pt>
                <c:pt idx="64">
                  <c:v>345.18464562565657</c:v>
                </c:pt>
                <c:pt idx="65">
                  <c:v>339.60210936715856</c:v>
                </c:pt>
                <c:pt idx="66">
                  <c:v>334.10985728402113</c:v>
                </c:pt>
                <c:pt idx="67">
                  <c:v>328.7064292455899</c:v>
                </c:pt>
                <c:pt idx="68">
                  <c:v>323.39038873533229</c:v>
                </c:pt>
                <c:pt idx="69">
                  <c:v>318.16032246893587</c:v>
                </c:pt>
                <c:pt idx="70">
                  <c:v>313.0148400185825</c:v>
                </c:pt>
                <c:pt idx="71">
                  <c:v>307.95257344329951</c:v>
                </c:pt>
                <c:pt idx="72">
                  <c:v>302.97217692528824</c:v>
                </c:pt>
                <c:pt idx="73">
                  <c:v>298.072326412135</c:v>
                </c:pt>
                <c:pt idx="74">
                  <c:v>293.25171926480795</c:v>
                </c:pt>
                <c:pt idx="75">
                  <c:v>288.50907391134677</c:v>
                </c:pt>
                <c:pt idx="76">
                  <c:v>283.84312950615316</c:v>
                </c:pt>
                <c:pt idx="77">
                  <c:v>279.2526455947916</c:v>
                </c:pt>
                <c:pt idx="78">
                  <c:v>274.73640178421073</c:v>
                </c:pt>
                <c:pt idx="79">
                  <c:v>270.29319741829897</c:v>
                </c:pt>
                <c:pt idx="80">
                  <c:v>265.92185125868616</c:v>
                </c:pt>
                <c:pt idx="81">
                  <c:v>261.62120117070856</c:v>
                </c:pt>
                <c:pt idx="82">
                  <c:v>257.39010381445144</c:v>
                </c:pt>
                <c:pt idx="83">
                  <c:v>253.22743434078944</c:v>
                </c:pt>
                <c:pt idx="84">
                  <c:v>249.13208609234229</c:v>
                </c:pt>
                <c:pt idx="85">
                  <c:v>245.1029703092666</c:v>
                </c:pt>
                <c:pt idx="86">
                  <c:v>241.13901583980584</c:v>
                </c:pt>
                <c:pt idx="87">
                  <c:v>237.23916885552222</c:v>
                </c:pt>
                <c:pt idx="88">
                  <c:v>233.40239257113282</c:v>
                </c:pt>
                <c:pt idx="89">
                  <c:v>229.62766696887769</c:v>
                </c:pt>
                <c:pt idx="90">
                  <c:v>225.91398852734514</c:v>
                </c:pt>
                <c:pt idx="91">
                  <c:v>222.26036995468269</c:v>
                </c:pt>
                <c:pt idx="92">
                  <c:v>218.66583992612291</c:v>
                </c:pt>
                <c:pt idx="93">
                  <c:v>215.12944282575384</c:v>
                </c:pt>
                <c:pt idx="94">
                  <c:v>211.65023849246595</c:v>
                </c:pt>
                <c:pt idx="95">
                  <c:v>208.22730197000746</c:v>
                </c:pt>
                <c:pt idx="96">
                  <c:v>204.85972326108251</c:v>
                </c:pt>
                <c:pt idx="97">
                  <c:v>201.54660708542531</c:v>
                </c:pt>
                <c:pt idx="98">
                  <c:v>198.2870726417878</c:v>
                </c:pt>
                <c:pt idx="99">
                  <c:v>195.08025337377595</c:v>
                </c:pt>
                <c:pt idx="100">
                  <c:v>191.92529673947328</c:v>
                </c:pt>
                <c:pt idx="101">
                  <c:v>188.82136398479037</c:v>
                </c:pt>
                <c:pt idx="102">
                  <c:v>185.76762992047952</c:v>
                </c:pt>
                <c:pt idx="103">
                  <c:v>182.76328270275602</c:v>
                </c:pt>
                <c:pt idx="104">
                  <c:v>179.80752361746715</c:v>
                </c:pt>
                <c:pt idx="105">
                  <c:v>176.89956686775179</c:v>
                </c:pt>
                <c:pt idx="106">
                  <c:v>174.038639365134</c:v>
                </c:pt>
                <c:pt idx="107">
                  <c:v>171.22398052399546</c:v>
                </c:pt>
                <c:pt idx="108">
                  <c:v>168.45484205937163</c:v>
                </c:pt>
                <c:pt idx="109">
                  <c:v>165.73048778801788</c:v>
                </c:pt>
                <c:pt idx="110">
                  <c:v>163.05019343269328</c:v>
                </c:pt>
                <c:pt idx="111">
                  <c:v>160.41324642960947</c:v>
                </c:pt>
                <c:pt idx="112">
                  <c:v>157.81894573899353</c:v>
                </c:pt>
                <c:pt idx="113">
                  <c:v>155.26660165871451</c:v>
                </c:pt>
                <c:pt idx="114">
                  <c:v>152.75553564092434</c:v>
                </c:pt>
                <c:pt idx="115">
                  <c:v>150.28508011166383</c:v>
                </c:pt>
                <c:pt idx="116">
                  <c:v>147.85457829338631</c:v>
                </c:pt>
                <c:pt idx="117">
                  <c:v>145.46338403035153</c:v>
                </c:pt>
                <c:pt idx="118">
                  <c:v>143.11086161684329</c:v>
                </c:pt>
                <c:pt idx="119">
                  <c:v>140.7963856281653</c:v>
                </c:pt>
                <c:pt idx="120">
                  <c:v>138.51934075437015</c:v>
                </c:pt>
                <c:pt idx="121">
                  <c:v>136.27912163667764</c:v>
                </c:pt>
                <c:pt idx="122">
                  <c:v>134.07513270653831</c:v>
                </c:pt>
                <c:pt idx="123">
                  <c:v>131.90678802729994</c:v>
                </c:pt>
                <c:pt idx="124">
                  <c:v>129.77351113843451</c:v>
                </c:pt>
                <c:pt idx="125">
                  <c:v>127.67473490228477</c:v>
                </c:pt>
                <c:pt idx="126">
                  <c:v>125.60990135328885</c:v>
                </c:pt>
                <c:pt idx="127">
                  <c:v>123.57846154964376</c:v>
                </c:pt>
                <c:pt idx="128">
                  <c:v>121.5798754273675</c:v>
                </c:pt>
                <c:pt idx="129">
                  <c:v>119.61361165672167</c:v>
                </c:pt>
                <c:pt idx="130">
                  <c:v>117.67914750095588</c:v>
                </c:pt>
                <c:pt idx="131">
                  <c:v>115.77596867733676</c:v>
                </c:pt>
                <c:pt idx="132">
                  <c:v>113.90356922042443</c:v>
                </c:pt>
                <c:pt idx="133">
                  <c:v>112.06145134756012</c:v>
                </c:pt>
                <c:pt idx="134">
                  <c:v>110.24912532652937</c:v>
                </c:pt>
                <c:pt idx="135">
                  <c:v>108.46610934536518</c:v>
                </c:pt>
                <c:pt idx="136">
                  <c:v>106.71192938425713</c:v>
                </c:pt>
                <c:pt idx="137">
                  <c:v>104.98611908953175</c:v>
                </c:pt>
                <c:pt idx="138">
                  <c:v>103.28821964967112</c:v>
                </c:pt>
                <c:pt idx="139">
                  <c:v>101.6177796733365</c:v>
                </c:pt>
                <c:pt idx="140">
                  <c:v>99.97435506936479</c:v>
                </c:pt>
                <c:pt idx="141">
                  <c:v>98.357508928705528</c:v>
                </c:pt>
                <c:pt idx="142">
                  <c:v>96.766811408267415</c:v>
                </c:pt>
                <c:pt idx="143">
                  <c:v>95.201839616643397</c:v>
                </c:pt>
                <c:pt idx="144">
                  <c:v>93.662177501683658</c:v>
                </c:pt>
                <c:pt idx="145">
                  <c:v>92.147415739887165</c:v>
                </c:pt>
                <c:pt idx="146">
                  <c:v>90.657151627581655</c:v>
                </c:pt>
                <c:pt idx="147">
                  <c:v>89.190988973863938</c:v>
                </c:pt>
                <c:pt idx="148">
                  <c:v>87.748537995271278</c:v>
                </c:pt>
                <c:pt idx="149">
                  <c:v>86.329415212156448</c:v>
                </c:pt>
                <c:pt idx="150">
                  <c:v>84.933243346738536</c:v>
                </c:pt>
                <c:pt idx="151">
                  <c:v>83.559651222802657</c:v>
                </c:pt>
                <c:pt idx="152">
                  <c:v>82.208273667021629</c:v>
                </c:pt>
                <c:pt idx="153">
                  <c:v>80.878751411873665</c:v>
                </c:pt>
                <c:pt idx="154">
                  <c:v>79.570731000130095</c:v>
                </c:pt>
                <c:pt idx="155">
                  <c:v>78.283864690887754</c:v>
                </c:pt>
                <c:pt idx="156">
                  <c:v>77.017810367121072</c:v>
                </c:pt>
                <c:pt idx="157">
                  <c:v>75.772231444729343</c:v>
                </c:pt>
                <c:pt idx="158">
                  <c:v>74.546796783054873</c:v>
                </c:pt>
                <c:pt idx="159">
                  <c:v>73.341180596848261</c:v>
                </c:pt>
                <c:pt idx="160">
                  <c:v>72.155062369657557</c:v>
                </c:pt>
                <c:pt idx="161">
                  <c:v>70.988126768618017</c:v>
                </c:pt>
                <c:pt idx="162">
                  <c:v>69.840063560619939</c:v>
                </c:pt>
                <c:pt idx="163">
                  <c:v>68.710567529832446</c:v>
                </c:pt>
                <c:pt idx="164">
                  <c:v>67.599338396560825</c:v>
                </c:pt>
                <c:pt idx="165">
                  <c:v>66.50608073741644</c:v>
                </c:pt>
                <c:pt idx="166">
                  <c:v>65.430503906777631</c:v>
                </c:pt>
                <c:pt idx="167">
                  <c:v>64.37232195952059</c:v>
                </c:pt>
                <c:pt idx="168">
                  <c:v>63.331253575000225</c:v>
                </c:pt>
                <c:pt idx="169">
                  <c:v>62.307021982260203</c:v>
                </c:pt>
                <c:pt idx="170">
                  <c:v>61.29935488645252</c:v>
                </c:pt>
                <c:pt idx="171">
                  <c:v>60.307984396447381</c:v>
                </c:pt>
                <c:pt idx="172">
                  <c:v>59.332646953613335</c:v>
                </c:pt>
                <c:pt idx="173">
                  <c:v>58.373083261749642</c:v>
                </c:pt>
                <c:pt idx="174">
                  <c:v>57.429038218151625</c:v>
                </c:pt>
                <c:pt idx="175">
                  <c:v>56.500260845790777</c:v>
                </c:pt>
                <c:pt idx="176">
                  <c:v>55.586504226591998</c:v>
                </c:pt>
                <c:pt idx="177">
                  <c:v>54.687525435789617</c:v>
                </c:pt>
                <c:pt idx="178">
                  <c:v>53.803085477345114</c:v>
                </c:pt>
                <c:pt idx="179">
                  <c:v>52.932949220409512</c:v>
                </c:pt>
                <c:pt idx="180">
                  <c:v>52.076885336813049</c:v>
                </c:pt>
                <c:pt idx="181">
                  <c:v>51.234666239565925</c:v>
                </c:pt>
                <c:pt idx="182">
                  <c:v>50.406068022353779</c:v>
                </c:pt>
                <c:pt idx="183">
                  <c:v>49.590870400011468</c:v>
                </c:pt>
                <c:pt idx="184">
                  <c:v>48.788856649959641</c:v>
                </c:pt>
                <c:pt idx="185">
                  <c:v>47.999813554588471</c:v>
                </c:pt>
                <c:pt idx="186">
                  <c:v>47.223531344573175</c:v>
                </c:pt>
                <c:pt idx="187">
                  <c:v>46.45980364310612</c:v>
                </c:pt>
                <c:pt idx="188">
                  <c:v>45.70842741103116</c:v>
                </c:pt>
                <c:pt idx="189">
                  <c:v>44.969202892864914</c:v>
                </c:pt>
                <c:pt idx="190">
                  <c:v>44.241933563691376</c:v>
                </c:pt>
                <c:pt idx="191">
                  <c:v>43.526426076915122</c:v>
                </c:pt>
                <c:pt idx="192">
                  <c:v>42.822490212859535</c:v>
                </c:pt>
                <c:pt idx="193">
                  <c:v>42.129938828196494</c:v>
                </c:pt>
                <c:pt idx="194">
                  <c:v>41.448587806193714</c:v>
                </c:pt>
                <c:pt idx="195">
                  <c:v>40.77825600776675</c:v>
                </c:pt>
                <c:pt idx="196">
                  <c:v>40.118765223322782</c:v>
                </c:pt>
                <c:pt idx="197">
                  <c:v>39.469940125383026</c:v>
                </c:pt>
                <c:pt idx="198">
                  <c:v>38.831608221971372</c:v>
                </c:pt>
                <c:pt idx="199">
                  <c:v>38.203599810757048</c:v>
                </c:pt>
                <c:pt idx="200">
                  <c:v>37.58574793393867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14-497E-A877-0DD48E750AD7}"/>
            </c:ext>
          </c:extLst>
        </c:ser>
        <c:ser>
          <c:idx val="1"/>
          <c:order val="1"/>
          <c:tx>
            <c:strRef>
              <c:f>Female!$D$94</c:f>
              <c:strCache>
                <c:ptCount val="1"/>
                <c:pt idx="0">
                  <c:v>Baby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Female!$A$96:$A$296</c:f>
              <c:numCache>
                <c:formatCode>0.00</c:formatCode>
                <c:ptCount val="2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5.0999999999999979</c:v>
                </c:pt>
                <c:pt idx="52">
                  <c:v>5.1999999999999975</c:v>
                </c:pt>
                <c:pt idx="53">
                  <c:v>5.2999999999999972</c:v>
                </c:pt>
                <c:pt idx="54">
                  <c:v>5.3999999999999968</c:v>
                </c:pt>
                <c:pt idx="55">
                  <c:v>5.4999999999999964</c:v>
                </c:pt>
                <c:pt idx="56">
                  <c:v>5.5999999999999961</c:v>
                </c:pt>
                <c:pt idx="57">
                  <c:v>5.6999999999999957</c:v>
                </c:pt>
                <c:pt idx="58">
                  <c:v>5.7999999999999954</c:v>
                </c:pt>
                <c:pt idx="59">
                  <c:v>5.899999999999995</c:v>
                </c:pt>
                <c:pt idx="60">
                  <c:v>5.9999999999999947</c:v>
                </c:pt>
                <c:pt idx="61">
                  <c:v>6.0999999999999943</c:v>
                </c:pt>
                <c:pt idx="62">
                  <c:v>6.199999999999994</c:v>
                </c:pt>
                <c:pt idx="63">
                  <c:v>6.2999999999999936</c:v>
                </c:pt>
                <c:pt idx="64">
                  <c:v>6.3999999999999932</c:v>
                </c:pt>
                <c:pt idx="65">
                  <c:v>6.4999999999999929</c:v>
                </c:pt>
                <c:pt idx="66">
                  <c:v>6.5999999999999925</c:v>
                </c:pt>
                <c:pt idx="67">
                  <c:v>6.6999999999999922</c:v>
                </c:pt>
                <c:pt idx="68">
                  <c:v>6.7999999999999918</c:v>
                </c:pt>
                <c:pt idx="69">
                  <c:v>6.8999999999999915</c:v>
                </c:pt>
                <c:pt idx="70">
                  <c:v>6.9999999999999911</c:v>
                </c:pt>
                <c:pt idx="71">
                  <c:v>7.0999999999999908</c:v>
                </c:pt>
                <c:pt idx="72">
                  <c:v>7.1999999999999904</c:v>
                </c:pt>
                <c:pt idx="73">
                  <c:v>7.2999999999999901</c:v>
                </c:pt>
                <c:pt idx="74">
                  <c:v>7.3999999999999897</c:v>
                </c:pt>
                <c:pt idx="75">
                  <c:v>7.4999999999999893</c:v>
                </c:pt>
                <c:pt idx="76">
                  <c:v>7.599999999999989</c:v>
                </c:pt>
                <c:pt idx="77">
                  <c:v>7.6999999999999886</c:v>
                </c:pt>
                <c:pt idx="78">
                  <c:v>7.7999999999999883</c:v>
                </c:pt>
                <c:pt idx="79">
                  <c:v>7.8999999999999879</c:v>
                </c:pt>
                <c:pt idx="80">
                  <c:v>7.9999999999999876</c:v>
                </c:pt>
                <c:pt idx="81">
                  <c:v>8.0999999999999872</c:v>
                </c:pt>
                <c:pt idx="82">
                  <c:v>8.1999999999999869</c:v>
                </c:pt>
                <c:pt idx="83">
                  <c:v>8.2999999999999865</c:v>
                </c:pt>
                <c:pt idx="84">
                  <c:v>8.3999999999999861</c:v>
                </c:pt>
                <c:pt idx="85">
                  <c:v>8.4999999999999858</c:v>
                </c:pt>
                <c:pt idx="86">
                  <c:v>8.5999999999999854</c:v>
                </c:pt>
                <c:pt idx="87">
                  <c:v>8.6999999999999851</c:v>
                </c:pt>
                <c:pt idx="88">
                  <c:v>8.7999999999999847</c:v>
                </c:pt>
                <c:pt idx="89">
                  <c:v>8.8999999999999844</c:v>
                </c:pt>
                <c:pt idx="90">
                  <c:v>8.999999999999984</c:v>
                </c:pt>
                <c:pt idx="91">
                  <c:v>9.0999999999999837</c:v>
                </c:pt>
                <c:pt idx="92">
                  <c:v>9.1999999999999833</c:v>
                </c:pt>
                <c:pt idx="93">
                  <c:v>9.2999999999999829</c:v>
                </c:pt>
                <c:pt idx="94">
                  <c:v>9.3999999999999826</c:v>
                </c:pt>
                <c:pt idx="95">
                  <c:v>9.4999999999999822</c:v>
                </c:pt>
                <c:pt idx="96">
                  <c:v>9.5999999999999819</c:v>
                </c:pt>
                <c:pt idx="97">
                  <c:v>9.6999999999999815</c:v>
                </c:pt>
                <c:pt idx="98">
                  <c:v>9.7999999999999812</c:v>
                </c:pt>
                <c:pt idx="99">
                  <c:v>9.8999999999999808</c:v>
                </c:pt>
                <c:pt idx="100">
                  <c:v>9.9999999999999805</c:v>
                </c:pt>
                <c:pt idx="101">
                  <c:v>10.09999999999998</c:v>
                </c:pt>
                <c:pt idx="102">
                  <c:v>10.19999999999998</c:v>
                </c:pt>
                <c:pt idx="103">
                  <c:v>10.299999999999979</c:v>
                </c:pt>
                <c:pt idx="104">
                  <c:v>10.399999999999979</c:v>
                </c:pt>
                <c:pt idx="105">
                  <c:v>10.499999999999979</c:v>
                </c:pt>
                <c:pt idx="106">
                  <c:v>10.599999999999978</c:v>
                </c:pt>
                <c:pt idx="107">
                  <c:v>10.699999999999978</c:v>
                </c:pt>
                <c:pt idx="108">
                  <c:v>10.799999999999978</c:v>
                </c:pt>
                <c:pt idx="109">
                  <c:v>10.899999999999977</c:v>
                </c:pt>
                <c:pt idx="110">
                  <c:v>10.999999999999977</c:v>
                </c:pt>
                <c:pt idx="111">
                  <c:v>11.099999999999977</c:v>
                </c:pt>
                <c:pt idx="112">
                  <c:v>11.199999999999976</c:v>
                </c:pt>
                <c:pt idx="113">
                  <c:v>11.299999999999976</c:v>
                </c:pt>
                <c:pt idx="114">
                  <c:v>11.399999999999975</c:v>
                </c:pt>
                <c:pt idx="115">
                  <c:v>11.499999999999975</c:v>
                </c:pt>
                <c:pt idx="116">
                  <c:v>11.599999999999975</c:v>
                </c:pt>
                <c:pt idx="117">
                  <c:v>11.699999999999974</c:v>
                </c:pt>
                <c:pt idx="118">
                  <c:v>11.799999999999974</c:v>
                </c:pt>
                <c:pt idx="119">
                  <c:v>11.899999999999974</c:v>
                </c:pt>
                <c:pt idx="120">
                  <c:v>11.999999999999973</c:v>
                </c:pt>
                <c:pt idx="121">
                  <c:v>12.099999999999973</c:v>
                </c:pt>
                <c:pt idx="122">
                  <c:v>12.199999999999973</c:v>
                </c:pt>
                <c:pt idx="123">
                  <c:v>12.299999999999972</c:v>
                </c:pt>
                <c:pt idx="124">
                  <c:v>12.399999999999972</c:v>
                </c:pt>
                <c:pt idx="125">
                  <c:v>12.499999999999972</c:v>
                </c:pt>
                <c:pt idx="126">
                  <c:v>12.599999999999971</c:v>
                </c:pt>
                <c:pt idx="127">
                  <c:v>12.699999999999971</c:v>
                </c:pt>
                <c:pt idx="128">
                  <c:v>12.799999999999971</c:v>
                </c:pt>
                <c:pt idx="129">
                  <c:v>12.89999999999997</c:v>
                </c:pt>
                <c:pt idx="130">
                  <c:v>12.99999999999997</c:v>
                </c:pt>
                <c:pt idx="131">
                  <c:v>13.099999999999969</c:v>
                </c:pt>
                <c:pt idx="132">
                  <c:v>13.199999999999969</c:v>
                </c:pt>
                <c:pt idx="133">
                  <c:v>13.299999999999969</c:v>
                </c:pt>
                <c:pt idx="134">
                  <c:v>13.399999999999968</c:v>
                </c:pt>
                <c:pt idx="135">
                  <c:v>13.499999999999968</c:v>
                </c:pt>
                <c:pt idx="136">
                  <c:v>13.599999999999968</c:v>
                </c:pt>
                <c:pt idx="137">
                  <c:v>13.699999999999967</c:v>
                </c:pt>
                <c:pt idx="138">
                  <c:v>13.799999999999967</c:v>
                </c:pt>
                <c:pt idx="139">
                  <c:v>13.899999999999967</c:v>
                </c:pt>
                <c:pt idx="140">
                  <c:v>13.999999999999966</c:v>
                </c:pt>
                <c:pt idx="141">
                  <c:v>14.099999999999966</c:v>
                </c:pt>
                <c:pt idx="142">
                  <c:v>14.199999999999966</c:v>
                </c:pt>
                <c:pt idx="143">
                  <c:v>14.299999999999965</c:v>
                </c:pt>
                <c:pt idx="144">
                  <c:v>14.399999999999965</c:v>
                </c:pt>
                <c:pt idx="145">
                  <c:v>14.499999999999964</c:v>
                </c:pt>
                <c:pt idx="146">
                  <c:v>14.599999999999964</c:v>
                </c:pt>
                <c:pt idx="147">
                  <c:v>14.699999999999964</c:v>
                </c:pt>
                <c:pt idx="148">
                  <c:v>14.799999999999963</c:v>
                </c:pt>
                <c:pt idx="149">
                  <c:v>14.899999999999963</c:v>
                </c:pt>
                <c:pt idx="150">
                  <c:v>14.999999999999963</c:v>
                </c:pt>
                <c:pt idx="151">
                  <c:v>15.099999999999962</c:v>
                </c:pt>
                <c:pt idx="152">
                  <c:v>15.199999999999962</c:v>
                </c:pt>
                <c:pt idx="153">
                  <c:v>15.299999999999962</c:v>
                </c:pt>
                <c:pt idx="154">
                  <c:v>15.399999999999961</c:v>
                </c:pt>
                <c:pt idx="155">
                  <c:v>15.499999999999961</c:v>
                </c:pt>
                <c:pt idx="156">
                  <c:v>15.599999999999961</c:v>
                </c:pt>
                <c:pt idx="157">
                  <c:v>15.69999999999996</c:v>
                </c:pt>
                <c:pt idx="158">
                  <c:v>15.79999999999996</c:v>
                </c:pt>
                <c:pt idx="159">
                  <c:v>15.899999999999959</c:v>
                </c:pt>
                <c:pt idx="160">
                  <c:v>15.999999999999959</c:v>
                </c:pt>
                <c:pt idx="161">
                  <c:v>16.099999999999959</c:v>
                </c:pt>
                <c:pt idx="162">
                  <c:v>16.19999999999996</c:v>
                </c:pt>
                <c:pt idx="163">
                  <c:v>16.299999999999962</c:v>
                </c:pt>
                <c:pt idx="164">
                  <c:v>16.399999999999963</c:v>
                </c:pt>
                <c:pt idx="165">
                  <c:v>16.499999999999964</c:v>
                </c:pt>
                <c:pt idx="166">
                  <c:v>16.599999999999966</c:v>
                </c:pt>
                <c:pt idx="167">
                  <c:v>16.699999999999967</c:v>
                </c:pt>
                <c:pt idx="168">
                  <c:v>16.799999999999969</c:v>
                </c:pt>
                <c:pt idx="169">
                  <c:v>16.89999999999997</c:v>
                </c:pt>
                <c:pt idx="170">
                  <c:v>16.999999999999972</c:v>
                </c:pt>
                <c:pt idx="171">
                  <c:v>17.099999999999973</c:v>
                </c:pt>
                <c:pt idx="172">
                  <c:v>17.199999999999974</c:v>
                </c:pt>
                <c:pt idx="173">
                  <c:v>17.299999999999976</c:v>
                </c:pt>
                <c:pt idx="174">
                  <c:v>17.399999999999977</c:v>
                </c:pt>
                <c:pt idx="175">
                  <c:v>17.499999999999979</c:v>
                </c:pt>
                <c:pt idx="176">
                  <c:v>17.59999999999998</c:v>
                </c:pt>
                <c:pt idx="177">
                  <c:v>17.699999999999982</c:v>
                </c:pt>
                <c:pt idx="178">
                  <c:v>17.799999999999983</c:v>
                </c:pt>
                <c:pt idx="179">
                  <c:v>17.899999999999984</c:v>
                </c:pt>
                <c:pt idx="180">
                  <c:v>17.999999999999986</c:v>
                </c:pt>
                <c:pt idx="181">
                  <c:v>18.099999999999987</c:v>
                </c:pt>
                <c:pt idx="182">
                  <c:v>18.199999999999989</c:v>
                </c:pt>
                <c:pt idx="183">
                  <c:v>18.29999999999999</c:v>
                </c:pt>
                <c:pt idx="184">
                  <c:v>18.399999999999991</c:v>
                </c:pt>
                <c:pt idx="185">
                  <c:v>18.499999999999993</c:v>
                </c:pt>
                <c:pt idx="186">
                  <c:v>18.599999999999994</c:v>
                </c:pt>
                <c:pt idx="187">
                  <c:v>18.699999999999996</c:v>
                </c:pt>
                <c:pt idx="188">
                  <c:v>18.799999999999997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19.200000000000003</c:v>
                </c:pt>
                <c:pt idx="193">
                  <c:v>19.300000000000004</c:v>
                </c:pt>
                <c:pt idx="194">
                  <c:v>19.400000000000006</c:v>
                </c:pt>
                <c:pt idx="195">
                  <c:v>19.500000000000007</c:v>
                </c:pt>
                <c:pt idx="196">
                  <c:v>19.600000000000009</c:v>
                </c:pt>
                <c:pt idx="197">
                  <c:v>19.70000000000001</c:v>
                </c:pt>
                <c:pt idx="198">
                  <c:v>19.800000000000011</c:v>
                </c:pt>
                <c:pt idx="199">
                  <c:v>19.900000000000013</c:v>
                </c:pt>
                <c:pt idx="200">
                  <c:v>20.000000000000014</c:v>
                </c:pt>
              </c:numCache>
            </c:numRef>
          </c:xVal>
          <c:yVal>
            <c:numRef>
              <c:f>Female!$D$96:$D$296</c:f>
              <c:numCache>
                <c:formatCode>0.00</c:formatCode>
                <c:ptCount val="201"/>
                <c:pt idx="0">
                  <c:v>0</c:v>
                </c:pt>
                <c:pt idx="1">
                  <c:v>8.3267330469985819</c:v>
                </c:pt>
                <c:pt idx="2">
                  <c:v>16.285730522837738</c:v>
                </c:pt>
                <c:pt idx="3">
                  <c:v>23.889661659502398</c:v>
                </c:pt>
                <c:pt idx="4">
                  <c:v>31.150791860096572</c:v>
                </c:pt>
                <c:pt idx="5">
                  <c:v>38.080995255054006</c:v>
                </c:pt>
                <c:pt idx="6">
                  <c:v>44.691766868833277</c:v>
                </c:pt>
                <c:pt idx="7">
                  <c:v>50.994234409285255</c:v>
                </c:pt>
                <c:pt idx="8">
                  <c:v>56.99916969149573</c:v>
                </c:pt>
                <c:pt idx="9">
                  <c:v>62.716999707526981</c:v>
                </c:pt>
                <c:pt idx="10">
                  <c:v>68.157817353124486</c:v>
                </c:pt>
                <c:pt idx="11">
                  <c:v>73.331391822102816</c:v>
                </c:pt>
                <c:pt idx="12">
                  <c:v>78.247178678784024</c:v>
                </c:pt>
                <c:pt idx="13">
                  <c:v>82.914329618536229</c:v>
                </c:pt>
                <c:pt idx="14">
                  <c:v>87.341701926140345</c:v>
                </c:pt>
                <c:pt idx="15">
                  <c:v>91.537867641406592</c:v>
                </c:pt>
                <c:pt idx="16">
                  <c:v>95.511122441163664</c:v>
                </c:pt>
                <c:pt idx="17">
                  <c:v>99.269494246456048</c:v>
                </c:pt>
                <c:pt idx="18">
                  <c:v>102.82075156350706</c:v>
                </c:pt>
                <c:pt idx="19">
                  <c:v>106.17241156673236</c:v>
                </c:pt>
                <c:pt idx="20">
                  <c:v>109.33174793183147</c:v>
                </c:pt>
                <c:pt idx="21">
                  <c:v>112.30579842672768</c:v>
                </c:pt>
                <c:pt idx="22">
                  <c:v>115.10137226788652</c:v>
                </c:pt>
                <c:pt idx="23">
                  <c:v>117.72505724930105</c:v>
                </c:pt>
                <c:pt idx="24">
                  <c:v>120.18322665120739</c:v>
                </c:pt>
                <c:pt idx="25">
                  <c:v>122.48204593536886</c:v>
                </c:pt>
                <c:pt idx="26">
                  <c:v>124.62747923355363</c:v>
                </c:pt>
                <c:pt idx="27">
                  <c:v>126.62529563562201</c:v>
                </c:pt>
                <c:pt idx="28">
                  <c:v>128.48107528343806</c:v>
                </c:pt>
                <c:pt idx="29">
                  <c:v>130.20021527662672</c:v>
                </c:pt>
                <c:pt idx="30">
                  <c:v>131.78793539600505</c:v>
                </c:pt>
                <c:pt idx="31">
                  <c:v>133.2492836503389</c:v>
                </c:pt>
                <c:pt idx="32">
                  <c:v>134.58914165189415</c:v>
                </c:pt>
                <c:pt idx="33">
                  <c:v>135.81222982608261</c:v>
                </c:pt>
                <c:pt idx="34">
                  <c:v>136.92311246033913</c:v>
                </c:pt>
                <c:pt idx="35">
                  <c:v>137.92620259719911</c:v>
                </c:pt>
                <c:pt idx="36">
                  <c:v>138.82576677639867</c:v>
                </c:pt>
                <c:pt idx="37">
                  <c:v>139.62592963066206</c:v>
                </c:pt>
                <c:pt idx="38">
                  <c:v>140.33067833969866</c:v>
                </c:pt>
                <c:pt idx="39">
                  <c:v>140.94386694679082</c:v>
                </c:pt>
                <c:pt idx="40">
                  <c:v>141.46922054221429</c:v>
                </c:pt>
                <c:pt idx="41">
                  <c:v>141.91033931760433</c:v>
                </c:pt>
                <c:pt idx="42">
                  <c:v>142.27070249524951</c:v>
                </c:pt>
                <c:pt idx="43">
                  <c:v>142.55367213617291</c:v>
                </c:pt>
                <c:pt idx="44">
                  <c:v>142.76249683073843</c:v>
                </c:pt>
                <c:pt idx="45">
                  <c:v>142.90031527540592</c:v>
                </c:pt>
                <c:pt idx="46">
                  <c:v>142.97015973914282</c:v>
                </c:pt>
                <c:pt idx="47">
                  <c:v>142.97495942289501</c:v>
                </c:pt>
                <c:pt idx="48">
                  <c:v>142.91754371540983</c:v>
                </c:pt>
                <c:pt idx="49">
                  <c:v>142.80064534860398</c:v>
                </c:pt>
                <c:pt idx="50">
                  <c:v>142.62690345556965</c:v>
                </c:pt>
                <c:pt idx="51">
                  <c:v>142.39886653421598</c:v>
                </c:pt>
                <c:pt idx="52">
                  <c:v>142.11899531944982</c:v>
                </c:pt>
                <c:pt idx="53">
                  <c:v>141.78966556670892</c:v>
                </c:pt>
                <c:pt idx="54">
                  <c:v>141.41317074957612</c:v>
                </c:pt>
                <c:pt idx="55">
                  <c:v>140.99172467411441</c:v>
                </c:pt>
                <c:pt idx="56">
                  <c:v>140.5274640124853</c:v>
                </c:pt>
                <c:pt idx="57">
                  <c:v>140.02245075832934</c:v>
                </c:pt>
                <c:pt idx="58">
                  <c:v>139.47867460631562</c:v>
                </c:pt>
                <c:pt idx="59">
                  <c:v>138.8980552581869</c:v>
                </c:pt>
                <c:pt idx="60">
                  <c:v>138.28244465756131</c:v>
                </c:pt>
                <c:pt idx="61">
                  <c:v>137.63362915567572</c:v>
                </c:pt>
                <c:pt idx="62">
                  <c:v>136.95333161019337</c:v>
                </c:pt>
                <c:pt idx="63">
                  <c:v>136.24321341912861</c:v>
                </c:pt>
                <c:pt idx="64">
                  <c:v>135.50487649188221</c:v>
                </c:pt>
                <c:pt idx="65">
                  <c:v>134.73986515931446</c:v>
                </c:pt>
                <c:pt idx="66">
                  <c:v>133.94966802472922</c:v>
                </c:pt>
                <c:pt idx="67">
                  <c:v>133.13571975757938</c:v>
                </c:pt>
                <c:pt idx="68">
                  <c:v>132.29940283165149</c:v>
                </c:pt>
                <c:pt idx="69">
                  <c:v>131.44204920943201</c:v>
                </c:pt>
                <c:pt idx="70">
                  <c:v>130.56494197430513</c:v>
                </c:pt>
                <c:pt idx="71">
                  <c:v>129.66931691218164</c:v>
                </c:pt>
                <c:pt idx="72">
                  <c:v>128.75636404410909</c:v>
                </c:pt>
                <c:pt idx="73">
                  <c:v>127.82722911136501</c:v>
                </c:pt>
                <c:pt idx="74">
                  <c:v>126.88301501449016</c:v>
                </c:pt>
                <c:pt idx="75">
                  <c:v>125.92478320767243</c:v>
                </c:pt>
                <c:pt idx="76">
                  <c:v>124.95355504985011</c:v>
                </c:pt>
                <c:pt idx="77">
                  <c:v>123.97031311385986</c:v>
                </c:pt>
                <c:pt idx="78">
                  <c:v>122.97600245491454</c:v>
                </c:pt>
                <c:pt idx="79">
                  <c:v>121.97153183965776</c:v>
                </c:pt>
                <c:pt idx="80">
                  <c:v>120.95777493700086</c:v>
                </c:pt>
                <c:pt idx="81">
                  <c:v>119.93557147191466</c:v>
                </c:pt>
                <c:pt idx="82">
                  <c:v>118.90572834330828</c:v>
                </c:pt>
                <c:pt idx="83">
                  <c:v>117.86902070709777</c:v>
                </c:pt>
                <c:pt idx="84">
                  <c:v>116.82619302552722</c:v>
                </c:pt>
                <c:pt idx="85">
                  <c:v>115.77796008377858</c:v>
                </c:pt>
                <c:pt idx="86">
                  <c:v>114.72500797486958</c:v>
                </c:pt>
                <c:pt idx="87">
                  <c:v>113.6679950538128</c:v>
                </c:pt>
                <c:pt idx="88">
                  <c:v>112.60755286197515</c:v>
                </c:pt>
                <c:pt idx="89">
                  <c:v>111.54428702255198</c:v>
                </c:pt>
                <c:pt idx="90">
                  <c:v>110.47877810803936</c:v>
                </c:pt>
                <c:pt idx="91">
                  <c:v>109.41158248056162</c:v>
                </c:pt>
                <c:pt idx="92">
                  <c:v>108.34323310588705</c:v>
                </c:pt>
                <c:pt idx="93">
                  <c:v>107.27424034193525</c:v>
                </c:pt>
                <c:pt idx="94">
                  <c:v>106.20509270255982</c:v>
                </c:pt>
                <c:pt idx="95">
                  <c:v>105.13625759736115</c:v>
                </c:pt>
                <c:pt idx="96">
                  <c:v>104.06818204826575</c:v>
                </c:pt>
                <c:pt idx="97">
                  <c:v>103.00129338358211</c:v>
                </c:pt>
                <c:pt idx="98">
                  <c:v>101.93599991022467</c:v>
                </c:pt>
                <c:pt idx="99">
                  <c:v>100.87269156477299</c:v>
                </c:pt>
                <c:pt idx="100">
                  <c:v>99.811740544016558</c:v>
                </c:pt>
                <c:pt idx="101">
                  <c:v>98.753501915612503</c:v>
                </c:pt>
                <c:pt idx="102">
                  <c:v>97.698314209466389</c:v>
                </c:pt>
                <c:pt idx="103">
                  <c:v>96.646499990427415</c:v>
                </c:pt>
                <c:pt idx="104">
                  <c:v>95.598366412869666</c:v>
                </c:pt>
                <c:pt idx="105">
                  <c:v>94.554205757716474</c:v>
                </c:pt>
                <c:pt idx="106">
                  <c:v>93.51429595244521</c:v>
                </c:pt>
                <c:pt idx="107">
                  <c:v>92.478901074595072</c:v>
                </c:pt>
                <c:pt idx="108">
                  <c:v>91.448271839284317</c:v>
                </c:pt>
                <c:pt idx="109">
                  <c:v>90.422646071227007</c:v>
                </c:pt>
                <c:pt idx="110">
                  <c:v>89.402249161725919</c:v>
                </c:pt>
                <c:pt idx="111">
                  <c:v>88.387294511102269</c:v>
                </c:pt>
                <c:pt idx="112">
                  <c:v>87.377983957009945</c:v>
                </c:pt>
                <c:pt idx="113">
                  <c:v>86.374508189067896</c:v>
                </c:pt>
                <c:pt idx="114">
                  <c:v>85.377047150230723</c:v>
                </c:pt>
                <c:pt idx="115">
                  <c:v>84.385770425305836</c:v>
                </c:pt>
                <c:pt idx="116">
                  <c:v>83.400837617011604</c:v>
                </c:pt>
                <c:pt idx="117">
                  <c:v>82.42239870996066</c:v>
                </c:pt>
                <c:pt idx="118">
                  <c:v>81.450594422939105</c:v>
                </c:pt>
                <c:pt idx="119">
                  <c:v>80.485556549842102</c:v>
                </c:pt>
                <c:pt idx="120">
                  <c:v>79.527408289615678</c:v>
                </c:pt>
                <c:pt idx="121">
                  <c:v>78.576264565542687</c:v>
                </c:pt>
                <c:pt idx="122">
                  <c:v>77.632232334201674</c:v>
                </c:pt>
                <c:pt idx="123">
                  <c:v>76.695410884417058</c:v>
                </c:pt>
                <c:pt idx="124">
                  <c:v>75.765892126509215</c:v>
                </c:pt>
                <c:pt idx="125">
                  <c:v>74.843760872143832</c:v>
                </c:pt>
                <c:pt idx="126">
                  <c:v>73.929095105070758</c:v>
                </c:pt>
                <c:pt idx="127">
                  <c:v>73.021966243033859</c:v>
                </c:pt>
                <c:pt idx="128">
                  <c:v>72.122439391124345</c:v>
                </c:pt>
                <c:pt idx="129">
                  <c:v>71.230573586842667</c:v>
                </c:pt>
                <c:pt idx="130">
                  <c:v>70.34642203712481</c:v>
                </c:pt>
                <c:pt idx="131">
                  <c:v>69.470032347582688</c:v>
                </c:pt>
                <c:pt idx="132">
                  <c:v>68.601446744198412</c:v>
                </c:pt>
                <c:pt idx="133">
                  <c:v>67.740702287707578</c:v>
                </c:pt>
                <c:pt idx="134">
                  <c:v>66.887831080897328</c:v>
                </c:pt>
                <c:pt idx="135">
                  <c:v>66.042860469039823</c:v>
                </c:pt>
                <c:pt idx="136">
                  <c:v>65.205813233673055</c:v>
                </c:pt>
                <c:pt idx="137">
                  <c:v>64.376707779937206</c:v>
                </c:pt>
                <c:pt idx="138">
                  <c:v>63.555558317665657</c:v>
                </c:pt>
                <c:pt idx="139">
                  <c:v>62.742375036425294</c:v>
                </c:pt>
                <c:pt idx="140">
                  <c:v>61.937164274694908</c:v>
                </c:pt>
                <c:pt idx="141">
                  <c:v>61.139928683363735</c:v>
                </c:pt>
                <c:pt idx="142">
                  <c:v>60.350667383727419</c:v>
                </c:pt>
                <c:pt idx="143">
                  <c:v>59.569376120153379</c:v>
                </c:pt>
                <c:pt idx="144">
                  <c:v>58.796047407581483</c:v>
                </c:pt>
                <c:pt idx="145">
                  <c:v>58.030670674022161</c:v>
                </c:pt>
                <c:pt idx="146">
                  <c:v>57.273232398207568</c:v>
                </c:pt>
                <c:pt idx="147">
                  <c:v>56.523716242548574</c:v>
                </c:pt>
                <c:pt idx="148">
                  <c:v>55.782103181543732</c:v>
                </c:pt>
                <c:pt idx="149">
                  <c:v>55.048371625783425</c:v>
                </c:pt>
                <c:pt idx="150">
                  <c:v>54.32249754168739</c:v>
                </c:pt>
                <c:pt idx="151">
                  <c:v>53.604454567109677</c:v>
                </c:pt>
                <c:pt idx="152">
                  <c:v>52.894214122940923</c:v>
                </c:pt>
                <c:pt idx="153">
                  <c:v>52.191745520834196</c:v>
                </c:pt>
                <c:pt idx="154">
                  <c:v>51.497016067176375</c:v>
                </c:pt>
                <c:pt idx="155">
                  <c:v>50.809991163423938</c:v>
                </c:pt>
                <c:pt idx="156">
                  <c:v>50.130634402917408</c:v>
                </c:pt>
                <c:pt idx="157">
                  <c:v>49.458907664286464</c:v>
                </c:pt>
                <c:pt idx="158">
                  <c:v>48.794771201553218</c:v>
                </c:pt>
                <c:pt idx="159">
                  <c:v>48.13818373103868</c:v>
                </c:pt>
                <c:pt idx="160">
                  <c:v>47.489102515173485</c:v>
                </c:pt>
                <c:pt idx="161">
                  <c:v>46.847483443311702</c:v>
                </c:pt>
                <c:pt idx="162">
                  <c:v>46.213281109642729</c:v>
                </c:pt>
                <c:pt idx="163">
                  <c:v>45.586448888294179</c:v>
                </c:pt>
                <c:pt idx="164">
                  <c:v>44.966939005714671</c:v>
                </c:pt>
                <c:pt idx="165">
                  <c:v>44.354702610424376</c:v>
                </c:pt>
                <c:pt idx="166">
                  <c:v>43.749689840216632</c:v>
                </c:pt>
                <c:pt idx="167">
                  <c:v>43.151849886893025</c:v>
                </c:pt>
                <c:pt idx="168">
                  <c:v>42.561131058610648</c:v>
                </c:pt>
                <c:pt idx="169">
                  <c:v>41.977480839918428</c:v>
                </c:pt>
                <c:pt idx="170">
                  <c:v>41.400845949556896</c:v>
                </c:pt>
                <c:pt idx="171">
                  <c:v>40.831172396093756</c:v>
                </c:pt>
                <c:pt idx="172">
                  <c:v>40.268405531464467</c:v>
                </c:pt>
                <c:pt idx="173">
                  <c:v>39.712490102486562</c:v>
                </c:pt>
                <c:pt idx="174">
                  <c:v>39.163370300412488</c:v>
                </c:pt>
                <c:pt idx="175">
                  <c:v>38.620989808585222</c:v>
                </c:pt>
                <c:pt idx="176">
                  <c:v>38.085291848258109</c:v>
                </c:pt>
                <c:pt idx="177">
                  <c:v>37.556219222638809</c:v>
                </c:pt>
                <c:pt idx="178">
                  <c:v>37.033714359215068</c:v>
                </c:pt>
                <c:pt idx="179">
                  <c:v>36.517719350419213</c:v>
                </c:pt>
                <c:pt idx="180">
                  <c:v>36.008175992684926</c:v>
                </c:pt>
                <c:pt idx="181">
                  <c:v>35.505025823949524</c:v>
                </c:pt>
                <c:pt idx="182">
                  <c:v>35.008210159653203</c:v>
                </c:pt>
                <c:pt idx="183">
                  <c:v>34.517670127284092</c:v>
                </c:pt>
                <c:pt idx="184">
                  <c:v>34.033346699517722</c:v>
                </c:pt>
                <c:pt idx="185">
                  <c:v>33.555180725997396</c:v>
                </c:pt>
                <c:pt idx="186">
                  <c:v>33.083112963800367</c:v>
                </c:pt>
                <c:pt idx="187">
                  <c:v>32.617084106633577</c:v>
                </c:pt>
                <c:pt idx="188">
                  <c:v>32.157034812801712</c:v>
                </c:pt>
                <c:pt idx="189">
                  <c:v>31.702905731988061</c:v>
                </c:pt>
                <c:pt idx="190">
                  <c:v>31.254637530888392</c:v>
                </c:pt>
                <c:pt idx="191">
                  <c:v>30.81217091773625</c:v>
                </c:pt>
                <c:pt idx="192">
                  <c:v>30.375446665756858</c:v>
                </c:pt>
                <c:pt idx="193">
                  <c:v>29.944405635586314</c:v>
                </c:pt>
                <c:pt idx="194">
                  <c:v>29.518988796690486</c:v>
                </c:pt>
                <c:pt idx="195">
                  <c:v>29.099137247818106</c:v>
                </c:pt>
                <c:pt idx="196">
                  <c:v>28.684792236520785</c:v>
                </c:pt>
                <c:pt idx="197">
                  <c:v>28.275895177771794</c:v>
                </c:pt>
                <c:pt idx="198">
                  <c:v>27.872387671714502</c:v>
                </c:pt>
                <c:pt idx="199">
                  <c:v>27.474211520570634</c:v>
                </c:pt>
                <c:pt idx="200">
                  <c:v>27.081308744736972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14-497E-A877-0DD48E750AD7}"/>
            </c:ext>
          </c:extLst>
        </c:ser>
        <c:ser>
          <c:idx val="2"/>
          <c:order val="2"/>
          <c:tx>
            <c:v>Mother raw data</c:v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Female!$C$41:$C$46</c:f>
              <c:numCache>
                <c:formatCode>0.00</c:formatCode>
                <c:ptCount val="6"/>
                <c:pt idx="0">
                  <c:v>1.0833333333333333</c:v>
                </c:pt>
                <c:pt idx="1">
                  <c:v>1.9375</c:v>
                </c:pt>
                <c:pt idx="2">
                  <c:v>3.0208333333333335</c:v>
                </c:pt>
                <c:pt idx="3">
                  <c:v>4.041666666666667</c:v>
                </c:pt>
                <c:pt idx="4">
                  <c:v>13.020833333333334</c:v>
                </c:pt>
                <c:pt idx="5">
                  <c:v>14</c:v>
                </c:pt>
              </c:numCache>
            </c:numRef>
          </c:xVal>
          <c:yVal>
            <c:numRef>
              <c:f>Female!$G$41:$G$46</c:f>
              <c:numCache>
                <c:formatCode>0.0</c:formatCode>
                <c:ptCount val="6"/>
                <c:pt idx="0">
                  <c:v>790.03308000000015</c:v>
                </c:pt>
                <c:pt idx="1">
                  <c:v>739.13605000000007</c:v>
                </c:pt>
                <c:pt idx="2">
                  <c:v>613.19629999999995</c:v>
                </c:pt>
                <c:pt idx="3">
                  <c:v>512.44450000000006</c:v>
                </c:pt>
                <c:pt idx="4">
                  <c:v>106.83164999999997</c:v>
                </c:pt>
                <c:pt idx="5">
                  <c:v>80.775149999999996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914-497E-A877-0DD48E750AD7}"/>
            </c:ext>
          </c:extLst>
        </c:ser>
        <c:ser>
          <c:idx val="3"/>
          <c:order val="3"/>
          <c:tx>
            <c:v>Baby raw data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Female!$C$53:$C$58</c:f>
              <c:numCache>
                <c:formatCode>0.00</c:formatCode>
                <c:ptCount val="6"/>
                <c:pt idx="0">
                  <c:v>1.09375</c:v>
                </c:pt>
                <c:pt idx="1">
                  <c:v>1.9479166666666665</c:v>
                </c:pt>
                <c:pt idx="2">
                  <c:v>3.03125</c:v>
                </c:pt>
                <c:pt idx="3">
                  <c:v>4.052083333333333</c:v>
                </c:pt>
                <c:pt idx="4">
                  <c:v>13.03125</c:v>
                </c:pt>
                <c:pt idx="5">
                  <c:v>14.010416666666666</c:v>
                </c:pt>
              </c:numCache>
            </c:numRef>
          </c:xVal>
          <c:yVal>
            <c:numRef>
              <c:f>Female!$G$53:$G$58</c:f>
              <c:numCache>
                <c:formatCode>0.0</c:formatCode>
                <c:ptCount val="6"/>
                <c:pt idx="0">
                  <c:v>72.610780000000034</c:v>
                </c:pt>
                <c:pt idx="1">
                  <c:v>100.92551000000003</c:v>
                </c:pt>
                <c:pt idx="2">
                  <c:v>137.57831999999996</c:v>
                </c:pt>
                <c:pt idx="3">
                  <c:v>142.96332999999998</c:v>
                </c:pt>
                <c:pt idx="4">
                  <c:v>70.352550000000008</c:v>
                </c:pt>
                <c:pt idx="5">
                  <c:v>59.58253000000002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914-497E-A877-0DD48E750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36512"/>
        <c:axId val="50739072"/>
      </c:scatterChart>
      <c:valAx>
        <c:axId val="50736512"/>
        <c:scaling>
          <c:orientation val="minMax"/>
          <c:max val="20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Geneva"/>
                    <a:ea typeface="Geneva"/>
                    <a:cs typeface="Geneva"/>
                  </a:defRPr>
                </a:pPr>
                <a:r>
                  <a:rPr lang="fr-FR" sz="1200">
                    <a:effectLst/>
                    <a:latin typeface="Arial"/>
                    <a:ea typeface="Times New Roman"/>
                  </a:rPr>
                  <a:t>Time (Days</a:t>
                </a:r>
                <a:r>
                  <a:rPr lang="fr-FR" sz="900">
                    <a:effectLst/>
                    <a:latin typeface="Arial"/>
                    <a:ea typeface="Times New Roman"/>
                  </a:rPr>
                  <a:t>)</a:t>
                </a:r>
                <a:endParaRPr lang="en-GB" sz="1100">
                  <a:effectLst/>
                  <a:latin typeface="Times New Roman"/>
                  <a:ea typeface="Times New Roman"/>
                </a:endParaRPr>
              </a:p>
            </c:rich>
          </c:tx>
          <c:layout>
            <c:manualLayout>
              <c:xMode val="edge"/>
              <c:yMode val="edge"/>
              <c:x val="0.41228131571272886"/>
              <c:y val="0.8906689063867017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50739072"/>
        <c:crosses val="autoZero"/>
        <c:crossBetween val="midCat"/>
      </c:valAx>
      <c:valAx>
        <c:axId val="50739072"/>
        <c:scaling>
          <c:orientation val="minMax"/>
          <c:max val="1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900" b="1" i="0" u="none" strike="noStrike" baseline="30000">
                    <a:solidFill>
                      <a:srgbClr val="000000"/>
                    </a:solidFill>
                    <a:latin typeface="Geneva"/>
                  </a:rPr>
                  <a:t>2</a:t>
                </a:r>
                <a:r>
                  <a:rPr lang="en-GB" sz="900" b="1" i="0" u="none" strike="noStrike" baseline="0">
                    <a:solidFill>
                      <a:srgbClr val="000000"/>
                    </a:solidFill>
                    <a:latin typeface="Geneva"/>
                  </a:rPr>
                  <a:t>H enrichment (mg/kg)</a:t>
                </a:r>
              </a:p>
            </c:rich>
          </c:tx>
          <c:layout>
            <c:manualLayout>
              <c:xMode val="edge"/>
              <c:yMode val="edge"/>
              <c:x val="1.7543859649122813E-2"/>
              <c:y val="0.32800083989501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5073651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38100</xdr:rowOff>
    </xdr:from>
    <xdr:to>
      <xdr:col>0</xdr:col>
      <xdr:colOff>0</xdr:colOff>
      <xdr:row>78</xdr:row>
      <xdr:rowOff>85725</xdr:rowOff>
    </xdr:to>
    <xdr:graphicFrame macro="">
      <xdr:nvGraphicFramePr>
        <xdr:cNvPr id="6159" name="Chart 1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19051</xdr:colOff>
      <xdr:row>72</xdr:row>
      <xdr:rowOff>142875</xdr:rowOff>
    </xdr:from>
    <xdr:to>
      <xdr:col>5</xdr:col>
      <xdr:colOff>1</xdr:colOff>
      <xdr:row>91</xdr:row>
      <xdr:rowOff>19050</xdr:rowOff>
    </xdr:to>
    <xdr:graphicFrame macro="">
      <xdr:nvGraphicFramePr>
        <xdr:cNvPr id="6160" name="Chart 4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38100</xdr:rowOff>
    </xdr:from>
    <xdr:to>
      <xdr:col>0</xdr:col>
      <xdr:colOff>0</xdr:colOff>
      <xdr:row>78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19051</xdr:colOff>
      <xdr:row>72</xdr:row>
      <xdr:rowOff>142875</xdr:rowOff>
    </xdr:from>
    <xdr:to>
      <xdr:col>5</xdr:col>
      <xdr:colOff>1</xdr:colOff>
      <xdr:row>91</xdr:row>
      <xdr:rowOff>19050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55"/>
  <sheetViews>
    <sheetView tabSelected="1" workbookViewId="0">
      <selection activeCell="M12" sqref="M12"/>
    </sheetView>
  </sheetViews>
  <sheetFormatPr defaultColWidth="8.7109375" defaultRowHeight="12.75"/>
  <cols>
    <col min="1" max="1" width="24.5703125" style="1" customWidth="1"/>
    <col min="2" max="2" width="11.140625" style="1" customWidth="1"/>
    <col min="3" max="3" width="15.28515625" style="1" customWidth="1"/>
    <col min="4" max="4" width="19.85546875" style="1" customWidth="1"/>
    <col min="5" max="5" width="13.5703125" style="1" customWidth="1"/>
    <col min="6" max="6" width="8.140625" style="1" customWidth="1"/>
    <col min="7" max="7" width="11.5703125" style="1" customWidth="1"/>
    <col min="8" max="8" width="14" style="1" customWidth="1"/>
    <col min="9" max="9" width="11.7109375" style="1" customWidth="1"/>
    <col min="10" max="10" width="27.5703125" style="1" customWidth="1"/>
    <col min="11" max="11" width="12.42578125" style="1" customWidth="1"/>
    <col min="12" max="12" width="12.5703125" style="1" customWidth="1"/>
    <col min="13" max="16384" width="8.7109375" style="1"/>
  </cols>
  <sheetData>
    <row r="1" spans="1:17" ht="15.75" thickTop="1">
      <c r="A1" s="68" t="s">
        <v>117</v>
      </c>
      <c r="B1" s="69"/>
      <c r="C1" s="69"/>
      <c r="D1" s="69"/>
      <c r="E1" s="69"/>
      <c r="F1" s="69"/>
      <c r="G1" s="69"/>
      <c r="H1" s="69"/>
      <c r="I1" s="69"/>
      <c r="J1" s="70"/>
    </row>
    <row r="2" spans="1:17" ht="15">
      <c r="A2" s="71" t="s">
        <v>118</v>
      </c>
      <c r="B2" s="72"/>
      <c r="C2" s="72"/>
      <c r="D2" s="72"/>
      <c r="E2" s="72"/>
      <c r="F2" s="72"/>
      <c r="G2" s="72"/>
      <c r="H2" s="72"/>
      <c r="I2" s="72"/>
      <c r="J2" s="73"/>
    </row>
    <row r="3" spans="1:17" ht="15.75" thickBot="1">
      <c r="A3" s="74" t="s">
        <v>116</v>
      </c>
      <c r="B3" s="75"/>
      <c r="C3" s="75"/>
      <c r="D3" s="75"/>
      <c r="E3" s="75"/>
      <c r="F3" s="75"/>
      <c r="G3" s="75"/>
      <c r="H3" s="75"/>
      <c r="I3" s="75"/>
      <c r="J3" s="76"/>
    </row>
    <row r="4" spans="1:17" ht="14.25" thickTop="1" thickBot="1"/>
    <row r="5" spans="1:17" ht="13.5" thickTop="1">
      <c r="A5" s="84" t="s">
        <v>66</v>
      </c>
      <c r="B5" s="85"/>
      <c r="C5" s="85"/>
      <c r="D5" s="85"/>
      <c r="E5" s="85"/>
      <c r="F5" s="85"/>
      <c r="G5" s="85"/>
      <c r="H5" s="85"/>
      <c r="I5" s="86"/>
      <c r="P5" s="6"/>
      <c r="Q5"/>
    </row>
    <row r="6" spans="1:17">
      <c r="A6" s="87" t="s">
        <v>112</v>
      </c>
      <c r="B6" s="88"/>
      <c r="C6" s="88"/>
      <c r="D6" s="88"/>
      <c r="E6" s="88"/>
      <c r="F6" s="88"/>
      <c r="G6" s="88"/>
      <c r="H6" s="88"/>
      <c r="I6" s="89"/>
      <c r="P6" s="6"/>
      <c r="Q6"/>
    </row>
    <row r="7" spans="1:17">
      <c r="A7" s="81" t="s">
        <v>56</v>
      </c>
      <c r="B7" s="82"/>
      <c r="C7" s="82"/>
      <c r="D7" s="82"/>
      <c r="E7" s="82"/>
      <c r="F7" s="82"/>
      <c r="G7" s="82"/>
      <c r="H7" s="82"/>
      <c r="I7" s="83"/>
      <c r="P7" s="6"/>
      <c r="Q7"/>
    </row>
    <row r="8" spans="1:17">
      <c r="A8" s="90" t="s">
        <v>49</v>
      </c>
      <c r="B8" s="82"/>
      <c r="C8" s="82"/>
      <c r="D8" s="82"/>
      <c r="E8" s="82"/>
      <c r="F8" s="82"/>
      <c r="G8" s="82"/>
      <c r="H8" s="82"/>
      <c r="I8" s="83"/>
      <c r="P8" s="6"/>
      <c r="Q8"/>
    </row>
    <row r="9" spans="1:17">
      <c r="A9" s="91" t="s">
        <v>60</v>
      </c>
      <c r="B9" s="82"/>
      <c r="C9" s="82"/>
      <c r="D9" s="82"/>
      <c r="E9" s="82"/>
      <c r="F9" s="82"/>
      <c r="G9" s="82"/>
      <c r="H9" s="82"/>
      <c r="I9" s="83"/>
      <c r="P9" s="6"/>
      <c r="Q9"/>
    </row>
    <row r="10" spans="1:17">
      <c r="A10" s="91" t="s">
        <v>64</v>
      </c>
      <c r="B10" s="82"/>
      <c r="C10" s="82"/>
      <c r="D10" s="82"/>
      <c r="E10" s="82"/>
      <c r="F10" s="82"/>
      <c r="G10" s="82"/>
      <c r="H10" s="82"/>
      <c r="I10" s="83"/>
      <c r="P10" s="6"/>
      <c r="Q10"/>
    </row>
    <row r="11" spans="1:17" s="3" customFormat="1">
      <c r="A11" s="91" t="s">
        <v>61</v>
      </c>
      <c r="B11" s="82"/>
      <c r="C11" s="82"/>
      <c r="D11" s="82"/>
      <c r="E11" s="82"/>
      <c r="F11" s="82"/>
      <c r="G11" s="82"/>
      <c r="H11" s="82"/>
      <c r="I11" s="83"/>
      <c r="P11" s="6"/>
      <c r="Q11"/>
    </row>
    <row r="12" spans="1:17" s="3" customFormat="1">
      <c r="A12" s="91" t="s">
        <v>62</v>
      </c>
      <c r="B12" s="82"/>
      <c r="C12" s="82"/>
      <c r="D12" s="82"/>
      <c r="E12" s="82"/>
      <c r="F12" s="82"/>
      <c r="G12" s="82"/>
      <c r="H12" s="82"/>
      <c r="I12" s="83"/>
      <c r="P12" s="6"/>
      <c r="Q12"/>
    </row>
    <row r="13" spans="1:17">
      <c r="A13" s="91" t="s">
        <v>106</v>
      </c>
      <c r="B13" s="82"/>
      <c r="C13" s="82"/>
      <c r="D13" s="82"/>
      <c r="E13" s="82"/>
      <c r="F13" s="82"/>
      <c r="G13" s="82"/>
      <c r="H13" s="82"/>
      <c r="I13" s="83"/>
      <c r="P13" s="6"/>
      <c r="Q13"/>
    </row>
    <row r="14" spans="1:17">
      <c r="A14" s="91" t="s">
        <v>63</v>
      </c>
      <c r="B14" s="82"/>
      <c r="C14" s="82"/>
      <c r="D14" s="82"/>
      <c r="E14" s="82"/>
      <c r="F14" s="82"/>
      <c r="G14" s="82"/>
      <c r="H14" s="82"/>
      <c r="I14" s="83"/>
      <c r="P14" s="6"/>
      <c r="Q14"/>
    </row>
    <row r="15" spans="1:17">
      <c r="A15" s="91" t="s">
        <v>57</v>
      </c>
      <c r="B15" s="82"/>
      <c r="C15" s="82"/>
      <c r="D15" s="82"/>
      <c r="E15" s="82"/>
      <c r="F15" s="82"/>
      <c r="G15" s="82"/>
      <c r="H15" s="82"/>
      <c r="I15" s="83"/>
      <c r="P15" s="6"/>
      <c r="Q15"/>
    </row>
    <row r="16" spans="1:17">
      <c r="A16" s="91" t="s">
        <v>107</v>
      </c>
      <c r="B16" s="82"/>
      <c r="C16" s="82"/>
      <c r="D16" s="82"/>
      <c r="E16" s="82"/>
      <c r="F16" s="82"/>
      <c r="G16" s="82"/>
      <c r="H16" s="82"/>
      <c r="I16" s="83"/>
      <c r="P16" s="6"/>
      <c r="Q16"/>
    </row>
    <row r="17" spans="1:17">
      <c r="A17" s="91" t="s">
        <v>108</v>
      </c>
      <c r="B17" s="82"/>
      <c r="C17" s="82"/>
      <c r="D17" s="82"/>
      <c r="E17" s="82"/>
      <c r="F17" s="82"/>
      <c r="G17" s="82"/>
      <c r="H17" s="82"/>
      <c r="I17" s="83"/>
      <c r="P17" s="6"/>
      <c r="Q17"/>
    </row>
    <row r="18" spans="1:17" ht="13.5" thickBot="1">
      <c r="A18" s="78" t="s">
        <v>109</v>
      </c>
      <c r="B18" s="79"/>
      <c r="C18" s="79"/>
      <c r="D18" s="79"/>
      <c r="E18" s="79"/>
      <c r="F18" s="79"/>
      <c r="G18" s="79"/>
      <c r="H18" s="79"/>
      <c r="I18" s="80"/>
      <c r="P18" s="6"/>
      <c r="Q18"/>
    </row>
    <row r="19" spans="1:17" ht="13.5" thickTop="1">
      <c r="P19" s="6"/>
      <c r="Q19"/>
    </row>
    <row r="20" spans="1:17">
      <c r="A20" s="9" t="s">
        <v>44</v>
      </c>
      <c r="B20" s="32" t="s">
        <v>111</v>
      </c>
      <c r="D20" s="5"/>
      <c r="E20" s="5"/>
      <c r="F20" s="5"/>
      <c r="G20" s="5"/>
      <c r="P20" s="6"/>
      <c r="Q20"/>
    </row>
    <row r="21" spans="1:17">
      <c r="A21" s="7"/>
      <c r="B21" s="8" t="s">
        <v>23</v>
      </c>
      <c r="C21" s="7"/>
      <c r="D21" s="7"/>
      <c r="E21" s="7"/>
      <c r="F21" s="7"/>
      <c r="G21" s="7"/>
      <c r="P21" s="6"/>
      <c r="Q21"/>
    </row>
    <row r="22" spans="1:17">
      <c r="A22" s="9" t="s">
        <v>0</v>
      </c>
      <c r="B22" s="10"/>
      <c r="C22" s="10"/>
      <c r="D22" s="9" t="s">
        <v>1</v>
      </c>
      <c r="E22" s="10"/>
      <c r="F22" s="10"/>
      <c r="G22" s="10"/>
      <c r="P22" s="5"/>
    </row>
    <row r="23" spans="1:17">
      <c r="A23" s="10" t="s">
        <v>32</v>
      </c>
      <c r="B23" s="11">
        <v>26907</v>
      </c>
      <c r="C23" s="10"/>
      <c r="D23" s="12" t="s">
        <v>32</v>
      </c>
      <c r="E23" s="11">
        <v>38406</v>
      </c>
      <c r="F23" s="10"/>
      <c r="G23" s="10"/>
      <c r="P23" s="5"/>
    </row>
    <row r="24" spans="1:17">
      <c r="A24" s="12" t="s">
        <v>75</v>
      </c>
      <c r="B24" s="13">
        <f>TRUNC((B30-B23)/365.25)</f>
        <v>31</v>
      </c>
      <c r="C24" s="10" t="s">
        <v>3</v>
      </c>
      <c r="D24" s="12" t="s">
        <v>90</v>
      </c>
      <c r="E24" s="26" t="s">
        <v>113</v>
      </c>
      <c r="F24" s="10"/>
      <c r="G24" s="10"/>
      <c r="P24" s="5"/>
    </row>
    <row r="25" spans="1:17">
      <c r="A25" s="12" t="s">
        <v>74</v>
      </c>
      <c r="B25" s="25">
        <v>54.56</v>
      </c>
      <c r="C25" s="10" t="s">
        <v>4</v>
      </c>
      <c r="D25" s="12" t="s">
        <v>75</v>
      </c>
      <c r="E25" s="14">
        <f>((B30-E23)/365.25*12)</f>
        <v>6.1437371663244349</v>
      </c>
      <c r="F25" s="10" t="s">
        <v>31</v>
      </c>
      <c r="G25" s="10"/>
      <c r="P25" s="5"/>
    </row>
    <row r="26" spans="1:17">
      <c r="A26" s="53" t="s">
        <v>72</v>
      </c>
      <c r="B26" s="41">
        <v>153</v>
      </c>
      <c r="C26" s="15" t="s">
        <v>73</v>
      </c>
      <c r="D26" s="12" t="s">
        <v>91</v>
      </c>
      <c r="E26" s="25">
        <v>5.88</v>
      </c>
      <c r="F26" s="10" t="s">
        <v>4</v>
      </c>
      <c r="G26" s="10"/>
      <c r="P26" s="5"/>
    </row>
    <row r="27" spans="1:17">
      <c r="A27" s="9" t="s">
        <v>2</v>
      </c>
      <c r="B27" s="4"/>
      <c r="C27" s="4"/>
      <c r="D27" s="12" t="s">
        <v>92</v>
      </c>
      <c r="E27" s="25">
        <v>6.27</v>
      </c>
      <c r="F27" s="10" t="s">
        <v>4</v>
      </c>
      <c r="G27" s="10"/>
      <c r="P27" s="5"/>
    </row>
    <row r="28" spans="1:17">
      <c r="A28" s="3" t="s">
        <v>47</v>
      </c>
      <c r="B28" s="31">
        <v>1</v>
      </c>
      <c r="C28" s="37"/>
      <c r="D28" s="54" t="s">
        <v>110</v>
      </c>
      <c r="P28" s="5"/>
    </row>
    <row r="29" spans="1:17" ht="15.75">
      <c r="A29" s="15" t="s">
        <v>48</v>
      </c>
      <c r="B29" s="27">
        <v>30.01</v>
      </c>
      <c r="C29" s="39"/>
      <c r="D29" s="3" t="s">
        <v>103</v>
      </c>
      <c r="E29" s="55">
        <v>0.11101</v>
      </c>
      <c r="F29" s="3" t="s">
        <v>68</v>
      </c>
      <c r="G29" s="3"/>
      <c r="P29" s="5"/>
    </row>
    <row r="30" spans="1:17" ht="14.25">
      <c r="A30" s="4" t="s">
        <v>45</v>
      </c>
      <c r="B30" s="28">
        <v>38593</v>
      </c>
      <c r="C30" s="39"/>
      <c r="D30" s="3" t="s">
        <v>104</v>
      </c>
      <c r="E30" s="41">
        <v>99.610299999999995</v>
      </c>
      <c r="F30" s="3" t="s">
        <v>68</v>
      </c>
      <c r="G30" s="3"/>
      <c r="P30" s="5"/>
    </row>
    <row r="31" spans="1:17">
      <c r="A31" s="4" t="s">
        <v>46</v>
      </c>
      <c r="B31" s="29">
        <v>0.41666666666666669</v>
      </c>
      <c r="C31" s="39"/>
      <c r="D31" s="3" t="s">
        <v>71</v>
      </c>
      <c r="E31" s="56">
        <f>E29/(E30-E29)*1000000</f>
        <v>1115.6863531388012</v>
      </c>
      <c r="F31" s="3" t="s">
        <v>69</v>
      </c>
      <c r="G31" s="57">
        <f>E31/G34</f>
        <v>1.0542499380017492</v>
      </c>
      <c r="H31" s="3" t="s">
        <v>93</v>
      </c>
      <c r="P31" s="5"/>
    </row>
    <row r="32" spans="1:17" s="3" customFormat="1">
      <c r="A32" s="7"/>
      <c r="B32" s="53" t="s">
        <v>88</v>
      </c>
      <c r="C32" s="7" t="s">
        <v>67</v>
      </c>
      <c r="D32" s="41">
        <v>111.1</v>
      </c>
      <c r="E32" s="41">
        <v>113.5</v>
      </c>
      <c r="F32" s="3" t="s">
        <v>69</v>
      </c>
      <c r="G32" s="56">
        <f>AVERAGE(D32:E32,D34:E34)</f>
        <v>111.75</v>
      </c>
      <c r="H32" s="58" t="s">
        <v>96</v>
      </c>
      <c r="I32" s="56">
        <f>STDEV(D32:E32,D34:E34)</f>
        <v>1.5779733838059484</v>
      </c>
      <c r="P32" s="10"/>
    </row>
    <row r="33" spans="1:16">
      <c r="B33" s="12" t="s">
        <v>88</v>
      </c>
      <c r="C33" s="10" t="s">
        <v>70</v>
      </c>
      <c r="D33" s="41">
        <v>1172.5</v>
      </c>
      <c r="E33" s="41">
        <v>1169.0999999999999</v>
      </c>
      <c r="F33" s="3" t="s">
        <v>69</v>
      </c>
      <c r="G33" s="56">
        <f>AVERAGE(D33:E33,D35:E35)</f>
        <v>1170.0250000000001</v>
      </c>
      <c r="H33" s="58" t="s">
        <v>96</v>
      </c>
      <c r="I33" s="56">
        <f>STDEV(D33:E33,D35:E35)</f>
        <v>1.7613914953808698</v>
      </c>
      <c r="J33" s="5"/>
      <c r="K33" s="5"/>
      <c r="L33" s="6"/>
      <c r="M33" s="6"/>
      <c r="N33" s="6"/>
      <c r="O33" s="6"/>
      <c r="P33" s="5"/>
    </row>
    <row r="34" spans="1:16" ht="15.75">
      <c r="A34" s="16"/>
      <c r="B34" s="12" t="s">
        <v>89</v>
      </c>
      <c r="C34" s="7" t="s">
        <v>67</v>
      </c>
      <c r="D34" s="41">
        <v>112.5</v>
      </c>
      <c r="E34" s="41">
        <v>109.9</v>
      </c>
      <c r="F34" s="3" t="s">
        <v>69</v>
      </c>
      <c r="G34" s="56">
        <f>G33-G32</f>
        <v>1058.2750000000001</v>
      </c>
      <c r="H34" s="58" t="s">
        <v>87</v>
      </c>
      <c r="I34" s="3"/>
      <c r="J34" s="5"/>
      <c r="K34" s="5"/>
      <c r="L34" s="6"/>
      <c r="M34" s="6"/>
      <c r="N34" s="6"/>
      <c r="O34" s="6"/>
      <c r="P34" s="5"/>
    </row>
    <row r="35" spans="1:16" ht="15.75">
      <c r="A35" s="16"/>
      <c r="B35" s="12" t="s">
        <v>89</v>
      </c>
      <c r="C35" s="10" t="s">
        <v>70</v>
      </c>
      <c r="D35" s="41">
        <v>1168.5</v>
      </c>
      <c r="E35" s="41">
        <v>1170</v>
      </c>
      <c r="F35" s="3" t="s">
        <v>69</v>
      </c>
      <c r="G35" s="59">
        <f>(E30-E29)*B29/E29*G34/1000</f>
        <v>28465.735608087092</v>
      </c>
      <c r="H35" s="3" t="s">
        <v>105</v>
      </c>
      <c r="I35" s="3"/>
      <c r="J35" s="5"/>
      <c r="K35" s="5"/>
      <c r="L35" s="6"/>
      <c r="M35" s="6"/>
      <c r="N35" s="6"/>
      <c r="O35" s="6"/>
      <c r="P35" s="5"/>
    </row>
    <row r="36" spans="1:16" ht="15.75">
      <c r="A36" s="16" t="s">
        <v>25</v>
      </c>
      <c r="B36" s="10"/>
      <c r="C36" s="39"/>
      <c r="D36"/>
      <c r="E36"/>
      <c r="F36" s="38"/>
      <c r="H36" s="45"/>
      <c r="I36" s="38"/>
      <c r="J36" s="40"/>
      <c r="K36" s="5"/>
      <c r="L36" s="6"/>
      <c r="M36" s="6"/>
      <c r="N36" s="6"/>
      <c r="O36" s="6"/>
      <c r="P36" s="5"/>
    </row>
    <row r="37" spans="1:16">
      <c r="A37" s="17"/>
      <c r="B37" s="5"/>
      <c r="C37" s="5"/>
      <c r="D37" s="77" t="s">
        <v>80</v>
      </c>
      <c r="E37" s="77"/>
      <c r="F37" s="5"/>
      <c r="G37" s="5" t="s">
        <v>81</v>
      </c>
      <c r="H37" s="5"/>
      <c r="I37" s="5"/>
      <c r="M37" s="10"/>
      <c r="N37" s="6"/>
      <c r="O37" s="6"/>
      <c r="P37" s="5"/>
    </row>
    <row r="38" spans="1:16">
      <c r="A38" s="10" t="s">
        <v>27</v>
      </c>
      <c r="B38" s="10" t="s">
        <v>5</v>
      </c>
      <c r="C38" s="5" t="s">
        <v>28</v>
      </c>
      <c r="D38" s="5" t="s">
        <v>6</v>
      </c>
      <c r="E38" s="5" t="s">
        <v>6</v>
      </c>
      <c r="F38" s="5" t="s">
        <v>24</v>
      </c>
      <c r="G38" s="5" t="s">
        <v>82</v>
      </c>
      <c r="H38" s="5" t="s">
        <v>35</v>
      </c>
      <c r="I38" s="5" t="s">
        <v>36</v>
      </c>
      <c r="J38" s="5" t="s">
        <v>7</v>
      </c>
      <c r="K38" s="5" t="s">
        <v>41</v>
      </c>
      <c r="L38" s="6"/>
      <c r="M38" s="5"/>
      <c r="N38" s="6"/>
      <c r="O38" s="6"/>
      <c r="P38" s="5"/>
    </row>
    <row r="39" spans="1:16">
      <c r="A39" s="5"/>
      <c r="B39" s="5"/>
      <c r="C39" s="5" t="s">
        <v>29</v>
      </c>
      <c r="D39" s="5" t="s">
        <v>30</v>
      </c>
      <c r="E39" s="5" t="s">
        <v>30</v>
      </c>
      <c r="F39" s="5" t="s">
        <v>30</v>
      </c>
      <c r="G39" s="5" t="s">
        <v>83</v>
      </c>
      <c r="H39" s="5" t="s">
        <v>30</v>
      </c>
      <c r="I39" s="5"/>
      <c r="J39" s="5" t="s">
        <v>30</v>
      </c>
      <c r="K39" s="5" t="s">
        <v>42</v>
      </c>
      <c r="L39" s="6"/>
      <c r="M39" s="5"/>
      <c r="N39" s="6"/>
      <c r="O39" s="6"/>
      <c r="P39" s="5"/>
    </row>
    <row r="40" spans="1:16">
      <c r="A40" s="51">
        <f>B30</f>
        <v>38593</v>
      </c>
      <c r="B40" s="52">
        <f>B31</f>
        <v>0.41666666666666669</v>
      </c>
      <c r="C40" s="30">
        <v>0</v>
      </c>
      <c r="D40" s="41">
        <v>149.37140000000005</v>
      </c>
      <c r="E40" s="41">
        <v>150.41366000000011</v>
      </c>
      <c r="F40" s="18">
        <f>AVERAGE(D40:E40)</f>
        <v>149.89253000000008</v>
      </c>
      <c r="G40" s="18">
        <f>(F40-F$40)</f>
        <v>0</v>
      </c>
      <c r="H40" s="5">
        <f t="shared" ref="H40" si="0">STDEV(D40:E40)</f>
        <v>0.73698911375953036</v>
      </c>
      <c r="I40" s="5">
        <f t="shared" ref="I40" si="1">100*H40/F40</f>
        <v>0.49167834698602386</v>
      </c>
      <c r="J40" s="18">
        <f t="shared" ref="J40:J46" si="2">F$63*EXP(-F$64*C40)</f>
        <v>980.0342499580189</v>
      </c>
      <c r="K40" s="5"/>
      <c r="L40" s="6"/>
      <c r="M40" s="5"/>
      <c r="N40" s="6"/>
      <c r="O40" s="6"/>
      <c r="P40" s="5"/>
    </row>
    <row r="41" spans="1:16">
      <c r="A41" s="11">
        <v>38594</v>
      </c>
      <c r="B41" s="19">
        <v>0.5</v>
      </c>
      <c r="C41" s="30">
        <f t="shared" ref="C41:C46" si="3">((A41-B$30)+(B41-B$31))</f>
        <v>1.0833333333333333</v>
      </c>
      <c r="D41" s="41">
        <v>940.09932000000026</v>
      </c>
      <c r="E41" s="41">
        <v>939.75190000000021</v>
      </c>
      <c r="F41" s="18">
        <f t="shared" ref="F41:F46" si="4">AVERAGE(D41:E41)</f>
        <v>939.92561000000023</v>
      </c>
      <c r="G41" s="18">
        <f t="shared" ref="G41:G46" si="5">(F41-F$40)</f>
        <v>790.03308000000015</v>
      </c>
      <c r="H41" s="5">
        <f t="shared" ref="H41:H46" si="6">STDEV(D41:E41)</f>
        <v>0.24566303791987026</v>
      </c>
      <c r="I41" s="5">
        <f t="shared" ref="I41:I46" si="7">100*H41/F41</f>
        <v>2.6136434129065831E-2</v>
      </c>
      <c r="J41" s="18">
        <f t="shared" si="2"/>
        <v>821.35221306215396</v>
      </c>
      <c r="K41" s="5">
        <f>(J41-G41)^2</f>
        <v>980.88809576489587</v>
      </c>
      <c r="L41" s="6"/>
      <c r="M41" s="5"/>
      <c r="N41" s="6"/>
      <c r="O41" s="5"/>
      <c r="P41" s="5"/>
    </row>
    <row r="42" spans="1:16">
      <c r="A42" s="11">
        <v>38595</v>
      </c>
      <c r="B42" s="19">
        <v>0.35416666666666669</v>
      </c>
      <c r="C42" s="30">
        <f t="shared" si="3"/>
        <v>1.9375</v>
      </c>
      <c r="D42" s="41">
        <v>889.3760000000002</v>
      </c>
      <c r="E42" s="41">
        <v>888.68116000000009</v>
      </c>
      <c r="F42" s="18">
        <f t="shared" si="4"/>
        <v>889.02858000000015</v>
      </c>
      <c r="G42" s="18">
        <f t="shared" si="5"/>
        <v>739.13605000000007</v>
      </c>
      <c r="H42" s="5">
        <f t="shared" si="6"/>
        <v>0.49132607583974053</v>
      </c>
      <c r="I42" s="5">
        <f t="shared" si="7"/>
        <v>5.5265498420730232E-2</v>
      </c>
      <c r="J42" s="18">
        <f t="shared" si="2"/>
        <v>714.57054525272679</v>
      </c>
      <c r="K42" s="5">
        <f t="shared" ref="K42:K46" si="8">(J42-G42)^2</f>
        <v>603.46402348830611</v>
      </c>
      <c r="L42" s="6"/>
      <c r="M42" s="5"/>
      <c r="N42" s="6"/>
      <c r="O42" s="5"/>
      <c r="P42" s="5"/>
    </row>
    <row r="43" spans="1:16">
      <c r="A43" s="11">
        <v>38596</v>
      </c>
      <c r="B43" s="19">
        <v>0.4375</v>
      </c>
      <c r="C43" s="30">
        <f t="shared" si="3"/>
        <v>3.0208333333333335</v>
      </c>
      <c r="D43" s="41">
        <v>763.95738000000006</v>
      </c>
      <c r="E43" s="41">
        <v>762.22028</v>
      </c>
      <c r="F43" s="18">
        <f t="shared" si="4"/>
        <v>763.08883000000003</v>
      </c>
      <c r="G43" s="18">
        <f t="shared" si="5"/>
        <v>613.19629999999995</v>
      </c>
      <c r="H43" s="5">
        <f t="shared" si="6"/>
        <v>1.2283151895991906</v>
      </c>
      <c r="I43" s="5">
        <f t="shared" si="7"/>
        <v>0.16096621275391892</v>
      </c>
      <c r="J43" s="18">
        <f t="shared" si="2"/>
        <v>598.87100757702945</v>
      </c>
      <c r="K43" s="5">
        <f t="shared" si="8"/>
        <v>205.2140030036162</v>
      </c>
      <c r="L43" s="6"/>
      <c r="M43" s="5"/>
      <c r="N43" s="6"/>
      <c r="O43" s="5"/>
      <c r="P43" s="5"/>
    </row>
    <row r="44" spans="1:16">
      <c r="A44" s="11">
        <v>38597</v>
      </c>
      <c r="B44" s="19">
        <v>0.45833333333333331</v>
      </c>
      <c r="C44" s="30">
        <f t="shared" si="3"/>
        <v>4.041666666666667</v>
      </c>
      <c r="D44" s="41">
        <v>661.81590000000006</v>
      </c>
      <c r="E44" s="41">
        <v>662.85816000000023</v>
      </c>
      <c r="F44" s="18">
        <f t="shared" si="4"/>
        <v>662.33703000000014</v>
      </c>
      <c r="G44" s="18">
        <f t="shared" si="5"/>
        <v>512.44450000000006</v>
      </c>
      <c r="H44" s="5">
        <f t="shared" si="6"/>
        <v>0.73698911375961085</v>
      </c>
      <c r="I44" s="5">
        <f t="shared" si="7"/>
        <v>0.1112710116418541</v>
      </c>
      <c r="J44" s="18">
        <f t="shared" si="2"/>
        <v>507.04575219345332</v>
      </c>
      <c r="K44" s="5">
        <f t="shared" si="8"/>
        <v>29.146477878693204</v>
      </c>
      <c r="L44" s="6"/>
      <c r="M44" s="5"/>
      <c r="N44" s="6"/>
      <c r="O44" s="5"/>
      <c r="P44" s="5"/>
    </row>
    <row r="45" spans="1:16">
      <c r="A45" s="11">
        <v>38606</v>
      </c>
      <c r="B45" s="19">
        <v>0.4375</v>
      </c>
      <c r="C45" s="30">
        <f t="shared" si="3"/>
        <v>13.020833333333334</v>
      </c>
      <c r="D45" s="41">
        <v>254.98708000000005</v>
      </c>
      <c r="E45" s="41">
        <v>258.46128000000004</v>
      </c>
      <c r="F45" s="18">
        <f t="shared" si="4"/>
        <v>256.72418000000005</v>
      </c>
      <c r="G45" s="18">
        <f t="shared" si="5"/>
        <v>106.83164999999997</v>
      </c>
      <c r="H45" s="5">
        <f t="shared" si="6"/>
        <v>2.4566303791983004</v>
      </c>
      <c r="I45" s="5">
        <f t="shared" si="7"/>
        <v>0.95691429580115905</v>
      </c>
      <c r="J45" s="18">
        <f t="shared" si="2"/>
        <v>117.28005562818726</v>
      </c>
      <c r="K45" s="5">
        <f t="shared" si="8"/>
        <v>109.16918017113579</v>
      </c>
      <c r="L45" s="6"/>
      <c r="M45" s="5"/>
      <c r="N45" s="6"/>
      <c r="O45" s="5"/>
      <c r="P45" s="5"/>
    </row>
    <row r="46" spans="1:16">
      <c r="A46" s="11">
        <v>38607</v>
      </c>
      <c r="B46" s="19">
        <v>0.41666666666666669</v>
      </c>
      <c r="C46" s="30">
        <f t="shared" si="3"/>
        <v>14</v>
      </c>
      <c r="D46" s="41">
        <v>231.01510000000002</v>
      </c>
      <c r="E46" s="41">
        <v>230.32026000000013</v>
      </c>
      <c r="F46" s="18">
        <f t="shared" si="4"/>
        <v>230.66768000000008</v>
      </c>
      <c r="G46" s="18">
        <f t="shared" si="5"/>
        <v>80.775149999999996</v>
      </c>
      <c r="H46" s="5">
        <f t="shared" si="6"/>
        <v>0.49132607583957977</v>
      </c>
      <c r="I46" s="5">
        <f t="shared" si="7"/>
        <v>0.21300169830449572</v>
      </c>
      <c r="J46" s="18">
        <f t="shared" si="2"/>
        <v>99.974324431051173</v>
      </c>
      <c r="K46" s="5">
        <f t="shared" si="8"/>
        <v>368.60829883392927</v>
      </c>
      <c r="L46" s="6"/>
      <c r="M46" s="18"/>
      <c r="N46" s="6"/>
      <c r="O46" s="5"/>
      <c r="P46" s="5"/>
    </row>
    <row r="47" spans="1:16">
      <c r="A47" s="5"/>
      <c r="B47" s="5"/>
      <c r="C47" s="5"/>
      <c r="D47" s="5"/>
      <c r="E47" s="5"/>
      <c r="F47" s="5"/>
      <c r="G47" s="5"/>
      <c r="H47" s="5"/>
      <c r="I47" s="5"/>
      <c r="J47" s="5" t="s">
        <v>8</v>
      </c>
      <c r="K47" s="5">
        <f>SUM(K41:K46)</f>
        <v>2296.4900791405767</v>
      </c>
      <c r="L47" s="6"/>
      <c r="M47" s="5"/>
      <c r="N47" s="6"/>
      <c r="O47" s="5"/>
      <c r="P47" s="5"/>
    </row>
    <row r="48" spans="1:16" s="3" customFormat="1" ht="15.75">
      <c r="A48" s="16" t="s">
        <v>26</v>
      </c>
      <c r="B48" s="10"/>
      <c r="C48" s="10"/>
      <c r="D48" s="10"/>
      <c r="E48" s="10"/>
      <c r="F48" s="10"/>
      <c r="G48" s="10"/>
      <c r="H48" s="10"/>
      <c r="I48" s="10"/>
      <c r="J48" s="10"/>
      <c r="K48" s="6"/>
      <c r="L48" s="6"/>
      <c r="M48" s="10"/>
      <c r="N48" s="6"/>
      <c r="O48" s="10"/>
      <c r="P48" s="10"/>
    </row>
    <row r="49" spans="1:16">
      <c r="A49" s="10"/>
      <c r="B49" s="10"/>
      <c r="C49" s="5"/>
      <c r="D49" s="77" t="s">
        <v>80</v>
      </c>
      <c r="E49" s="77"/>
      <c r="F49" s="5"/>
      <c r="G49" s="5" t="s">
        <v>81</v>
      </c>
      <c r="H49" s="5"/>
      <c r="I49" s="5"/>
      <c r="J49" s="5"/>
      <c r="K49" s="5"/>
      <c r="L49" s="5"/>
      <c r="M49" s="5"/>
      <c r="N49" s="6"/>
      <c r="O49" s="5"/>
      <c r="P49" s="5"/>
    </row>
    <row r="50" spans="1:16">
      <c r="A50" s="10" t="s">
        <v>27</v>
      </c>
      <c r="B50" s="10" t="s">
        <v>5</v>
      </c>
      <c r="C50" s="5" t="s">
        <v>28</v>
      </c>
      <c r="D50" s="5" t="s">
        <v>6</v>
      </c>
      <c r="E50" s="5" t="s">
        <v>6</v>
      </c>
      <c r="F50" s="5" t="s">
        <v>24</v>
      </c>
      <c r="G50" s="5" t="s">
        <v>82</v>
      </c>
      <c r="H50" s="5" t="s">
        <v>35</v>
      </c>
      <c r="I50" s="5" t="s">
        <v>36</v>
      </c>
      <c r="J50" s="5" t="s">
        <v>65</v>
      </c>
      <c r="K50" s="5" t="s">
        <v>7</v>
      </c>
      <c r="L50" s="5" t="s">
        <v>41</v>
      </c>
      <c r="M50" s="5"/>
      <c r="N50" s="6"/>
      <c r="O50" s="5"/>
      <c r="P50" s="5"/>
    </row>
    <row r="51" spans="1:16">
      <c r="A51" s="5"/>
      <c r="B51" s="5"/>
      <c r="C51" s="5" t="s">
        <v>29</v>
      </c>
      <c r="D51" s="5" t="s">
        <v>30</v>
      </c>
      <c r="E51" s="5" t="s">
        <v>30</v>
      </c>
      <c r="F51" s="5" t="s">
        <v>30</v>
      </c>
      <c r="G51" s="5" t="s">
        <v>83</v>
      </c>
      <c r="H51" s="5" t="s">
        <v>30</v>
      </c>
      <c r="I51" s="5"/>
      <c r="J51" s="5" t="s">
        <v>58</v>
      </c>
      <c r="K51" s="5" t="s">
        <v>30</v>
      </c>
      <c r="L51" s="5" t="s">
        <v>42</v>
      </c>
      <c r="M51" s="5"/>
      <c r="N51" s="5"/>
      <c r="O51" s="5"/>
      <c r="P51" s="5"/>
    </row>
    <row r="52" spans="1:16">
      <c r="A52" s="51">
        <f>A40</f>
        <v>38593</v>
      </c>
      <c r="B52" s="52">
        <f>B40</f>
        <v>0.41666666666666669</v>
      </c>
      <c r="C52" s="30">
        <f>C40</f>
        <v>0</v>
      </c>
      <c r="D52" s="42">
        <v>161.87852000000004</v>
      </c>
      <c r="E52" s="42">
        <v>152.84560000000005</v>
      </c>
      <c r="F52" s="18">
        <f t="shared" ref="F52:F58" si="9">AVERAGE(D52:E52)</f>
        <v>157.36206000000004</v>
      </c>
      <c r="G52" s="18">
        <f>(F52-F$52)</f>
        <v>0</v>
      </c>
      <c r="H52" s="5">
        <f t="shared" ref="H52" si="10">STDEV(D52:E52)</f>
        <v>6.387238985915582</v>
      </c>
      <c r="I52" s="5">
        <f t="shared" ref="I52" si="11">100*H52/F52</f>
        <v>4.0589446947476286</v>
      </c>
      <c r="J52" s="5">
        <f>(0.951*(E$26+(E$27-E$26)*C52/C$58)^0.729)*(1.009^E25)*(1.044^1)</f>
        <v>3.8164834984997427</v>
      </c>
      <c r="K52" s="18">
        <f t="shared" ref="K52:K58" si="12">$F$63*$F$66/($F$65/J52-$F$64)/J52*(EXP(-$F$64*C52)-EXP(-$F$65/J52*C52))</f>
        <v>0</v>
      </c>
      <c r="L52" s="5"/>
      <c r="M52" s="5"/>
      <c r="N52" s="5"/>
      <c r="O52" s="5"/>
      <c r="P52" s="5"/>
    </row>
    <row r="53" spans="1:16">
      <c r="A53" s="11">
        <v>38594</v>
      </c>
      <c r="B53" s="19">
        <v>0.51041666666666663</v>
      </c>
      <c r="C53" s="30">
        <f t="shared" ref="C53:C58" si="13">((A53-B$30)+(B53-B$31))</f>
        <v>1.09375</v>
      </c>
      <c r="D53" s="42">
        <v>230.66768000000008</v>
      </c>
      <c r="E53" s="42">
        <v>229.27800000000008</v>
      </c>
      <c r="F53" s="18">
        <f t="shared" si="9"/>
        <v>229.97284000000008</v>
      </c>
      <c r="G53" s="18">
        <f t="shared" ref="G53:G58" si="14">(F53-F$52)</f>
        <v>72.610780000000034</v>
      </c>
      <c r="H53" s="5">
        <f t="shared" ref="H53:H58" si="15">STDEV(D53:E53)</f>
        <v>0.9826521516793203</v>
      </c>
      <c r="I53" s="5">
        <f t="shared" ref="I53:I58" si="16">100*H53/F53</f>
        <v>0.42729052338498752</v>
      </c>
      <c r="J53" s="5">
        <f>(0.951*(E$26+(E$27-E$26)*C53/C$58)^0.729)*(1.009^E25)*(1.044^1)</f>
        <v>3.8308794730135385</v>
      </c>
      <c r="K53" s="18">
        <f t="shared" si="12"/>
        <v>73.015771389918314</v>
      </c>
      <c r="L53" s="5">
        <f>(K53-G53)^2</f>
        <v>0.16401802590794012</v>
      </c>
      <c r="M53" s="5"/>
      <c r="N53" s="5"/>
      <c r="O53" s="5"/>
      <c r="P53" s="5"/>
    </row>
    <row r="54" spans="1:16">
      <c r="A54" s="11">
        <v>38595</v>
      </c>
      <c r="B54" s="19">
        <v>0.36458333333333331</v>
      </c>
      <c r="C54" s="30">
        <f t="shared" si="13"/>
        <v>1.9479166666666665</v>
      </c>
      <c r="D54" s="42">
        <v>258.46128000000004</v>
      </c>
      <c r="E54" s="42">
        <v>258.1138600000001</v>
      </c>
      <c r="F54" s="18">
        <f t="shared" si="9"/>
        <v>258.28757000000007</v>
      </c>
      <c r="G54" s="18">
        <f t="shared" si="14"/>
        <v>100.92551000000003</v>
      </c>
      <c r="H54" s="5">
        <f t="shared" si="15"/>
        <v>0.24566303791978988</v>
      </c>
      <c r="I54" s="5">
        <f t="shared" si="16"/>
        <v>9.5112218493437303E-2</v>
      </c>
      <c r="J54" s="5">
        <f>(0.951*(E$26+(E$27-E$26)*C54/C$58)^0.729)*(1.009^E25)*(1.044^1)</f>
        <v>3.8421080710655793</v>
      </c>
      <c r="K54" s="18">
        <f t="shared" si="12"/>
        <v>107.70992530610059</v>
      </c>
      <c r="L54" s="5">
        <f t="shared" ref="L54:L58" si="17">(K54-G54)^2</f>
        <v>46.0282910456515</v>
      </c>
      <c r="M54" s="5"/>
      <c r="N54" s="5"/>
      <c r="O54" s="5"/>
      <c r="P54" s="5"/>
    </row>
    <row r="55" spans="1:16">
      <c r="A55" s="11">
        <v>38596</v>
      </c>
      <c r="B55" s="19">
        <v>0.44791666666666669</v>
      </c>
      <c r="C55" s="30">
        <f t="shared" si="13"/>
        <v>3.03125</v>
      </c>
      <c r="D55" s="42">
        <v>294.24553999999995</v>
      </c>
      <c r="E55" s="42">
        <v>295.63522000000006</v>
      </c>
      <c r="F55" s="18">
        <f t="shared" si="9"/>
        <v>294.94038</v>
      </c>
      <c r="G55" s="18">
        <f t="shared" si="14"/>
        <v>137.57831999999996</v>
      </c>
      <c r="H55" s="5">
        <f t="shared" si="15"/>
        <v>0.98265215167940068</v>
      </c>
      <c r="I55" s="5">
        <f t="shared" si="16"/>
        <v>0.3331697584709834</v>
      </c>
      <c r="J55" s="5">
        <f>(0.951*(E$26+(E$27-E$26)*C55/C$58)^0.729)*(1.009^E25)*(1.044^1)</f>
        <v>3.8563316994149952</v>
      </c>
      <c r="K55" s="18">
        <f t="shared" si="12"/>
        <v>132.25806007749316</v>
      </c>
      <c r="L55" s="5">
        <f t="shared" si="17"/>
        <v>28.305165643032137</v>
      </c>
      <c r="M55" s="5"/>
      <c r="N55" s="5"/>
      <c r="O55" s="5"/>
      <c r="P55" s="5"/>
    </row>
    <row r="56" spans="1:16">
      <c r="A56" s="11">
        <v>38597</v>
      </c>
      <c r="B56" s="19">
        <v>0.46875</v>
      </c>
      <c r="C56" s="30">
        <f t="shared" si="13"/>
        <v>4.052083333333333</v>
      </c>
      <c r="D56" s="42">
        <v>299.80426000000006</v>
      </c>
      <c r="E56" s="42">
        <v>300.84652</v>
      </c>
      <c r="F56" s="18">
        <f t="shared" si="9"/>
        <v>300.32539000000003</v>
      </c>
      <c r="G56" s="18">
        <f t="shared" si="14"/>
        <v>142.96332999999998</v>
      </c>
      <c r="H56" s="5">
        <f t="shared" si="15"/>
        <v>0.73698911375944998</v>
      </c>
      <c r="I56" s="5">
        <f t="shared" si="16"/>
        <v>0.24539687229223275</v>
      </c>
      <c r="J56" s="5">
        <f>(0.951*(E$26+(E$27-E$26)*C56/C$58)^0.729)*(1.009^E25)*(1.044^1)</f>
        <v>3.8697169088433467</v>
      </c>
      <c r="K56" s="18">
        <f t="shared" si="12"/>
        <v>141.70935974885936</v>
      </c>
      <c r="L56" s="5">
        <f t="shared" si="17"/>
        <v>1.5724413907456922</v>
      </c>
      <c r="M56" s="5"/>
      <c r="N56" s="5"/>
      <c r="O56" s="5"/>
      <c r="P56" s="5"/>
    </row>
    <row r="57" spans="1:16">
      <c r="A57" s="11">
        <v>38606</v>
      </c>
      <c r="B57" s="19">
        <v>0.44791666666666669</v>
      </c>
      <c r="C57" s="30">
        <f t="shared" si="13"/>
        <v>13.03125</v>
      </c>
      <c r="D57" s="42">
        <v>228.23574000000002</v>
      </c>
      <c r="E57" s="42">
        <v>227.19348000000008</v>
      </c>
      <c r="F57" s="18">
        <f t="shared" si="9"/>
        <v>227.71461000000005</v>
      </c>
      <c r="G57" s="18">
        <f t="shared" si="14"/>
        <v>70.352550000000008</v>
      </c>
      <c r="H57" s="5">
        <f t="shared" si="15"/>
        <v>0.73698911375944998</v>
      </c>
      <c r="I57" s="5">
        <f t="shared" si="16"/>
        <v>0.32364595041110883</v>
      </c>
      <c r="J57" s="5">
        <f>(0.951*(E$26+(E$27-E$26)*C57/C$58)^0.729)*(1.009^E25)*(1.044^1)</f>
        <v>3.9867229020405719</v>
      </c>
      <c r="K57" s="18">
        <f t="shared" si="12"/>
        <v>70.071702235564302</v>
      </c>
      <c r="L57" s="5">
        <f t="shared" si="17"/>
        <v>7.8875466788533508E-2</v>
      </c>
      <c r="M57" s="5"/>
      <c r="N57" s="5"/>
      <c r="O57" s="5"/>
      <c r="P57" s="5"/>
    </row>
    <row r="58" spans="1:16">
      <c r="A58" s="11">
        <v>38607</v>
      </c>
      <c r="B58" s="19">
        <v>0.42708333333333331</v>
      </c>
      <c r="C58" s="30">
        <f t="shared" si="13"/>
        <v>14.010416666666666</v>
      </c>
      <c r="D58" s="42">
        <v>218.16056000000009</v>
      </c>
      <c r="E58" s="42">
        <v>215.72862000000003</v>
      </c>
      <c r="F58" s="18">
        <f t="shared" si="9"/>
        <v>216.94459000000006</v>
      </c>
      <c r="G58" s="18">
        <f t="shared" si="14"/>
        <v>59.58253000000002</v>
      </c>
      <c r="H58" s="5">
        <f t="shared" si="15"/>
        <v>1.7196412654388507</v>
      </c>
      <c r="I58" s="5">
        <f t="shared" si="16"/>
        <v>0.79266381587982915</v>
      </c>
      <c r="J58" s="5">
        <f>(0.951*(E$26+(E$27-E$26)*C58/C$58)^0.729)*(1.009^E25)*(1.044^1)</f>
        <v>3.9994047263160639</v>
      </c>
      <c r="K58" s="18">
        <f t="shared" si="12"/>
        <v>61.853731054106198</v>
      </c>
      <c r="L58" s="5">
        <f t="shared" si="17"/>
        <v>5.1583542281730175</v>
      </c>
      <c r="M58" s="5"/>
      <c r="N58" s="5"/>
      <c r="O58" s="5"/>
      <c r="P58" s="5"/>
    </row>
    <row r="59" spans="1:16">
      <c r="A59" s="5"/>
      <c r="B59" s="5"/>
      <c r="C59" s="7"/>
      <c r="D59" s="7"/>
      <c r="E59" s="7"/>
      <c r="F59" s="7"/>
      <c r="G59" s="7"/>
      <c r="H59" s="7"/>
      <c r="I59" s="7"/>
      <c r="J59" s="7"/>
      <c r="K59" s="5" t="s">
        <v>8</v>
      </c>
      <c r="L59" s="5">
        <f>SUM(L53:L58)</f>
        <v>81.307145800298827</v>
      </c>
      <c r="M59" s="5"/>
      <c r="N59" s="5"/>
      <c r="O59" s="5"/>
      <c r="P59" s="5"/>
    </row>
    <row r="60" spans="1:16">
      <c r="A60" s="44"/>
      <c r="B60" s="43"/>
      <c r="C60" s="5"/>
      <c r="D60" s="5"/>
      <c r="E60" s="5"/>
      <c r="F60" s="5"/>
      <c r="G60" s="5"/>
      <c r="H60" s="5"/>
      <c r="I60" s="5"/>
      <c r="J60" s="7"/>
      <c r="K60" s="15"/>
      <c r="L60" s="15"/>
      <c r="M60" s="5"/>
      <c r="N60" s="5"/>
      <c r="O60" s="5"/>
      <c r="P60" s="5"/>
    </row>
    <row r="61" spans="1:16" ht="15">
      <c r="A61" s="9" t="s">
        <v>44</v>
      </c>
      <c r="B61" s="20" t="str">
        <f>B20</f>
        <v>Template</v>
      </c>
      <c r="C61" s="7"/>
      <c r="D61" s="7"/>
      <c r="E61" s="7"/>
      <c r="F61" s="7"/>
      <c r="G61" s="7"/>
      <c r="H61" s="7"/>
      <c r="I61" s="60"/>
      <c r="J61" s="61" t="s">
        <v>102</v>
      </c>
      <c r="K61" s="62">
        <f>100*K63/(K63+K66+K67)</f>
        <v>33.88147375463673</v>
      </c>
      <c r="L61" s="63" t="s">
        <v>76</v>
      </c>
      <c r="M61" s="50"/>
      <c r="N61" s="10"/>
      <c r="O61" s="10"/>
      <c r="P61" s="5"/>
    </row>
    <row r="62" spans="1:16" ht="15.75">
      <c r="A62" s="21" t="s">
        <v>34</v>
      </c>
      <c r="B62" s="15"/>
      <c r="C62" s="49" t="s">
        <v>94</v>
      </c>
      <c r="D62" s="10"/>
      <c r="E62" s="9" t="s">
        <v>9</v>
      </c>
      <c r="F62" s="10"/>
      <c r="G62" s="10"/>
      <c r="H62" s="5"/>
      <c r="I62" s="46"/>
      <c r="J62" s="5" t="s">
        <v>33</v>
      </c>
      <c r="K62" s="66">
        <f>F66/0.871</f>
        <v>0.38070226925381212</v>
      </c>
      <c r="L62" s="10" t="s">
        <v>39</v>
      </c>
      <c r="M62" s="67">
        <f>K62*1000</f>
        <v>380.70226925381212</v>
      </c>
      <c r="N62" s="10" t="s">
        <v>59</v>
      </c>
      <c r="O62" s="5"/>
      <c r="P62" s="5"/>
    </row>
    <row r="63" spans="1:16" ht="16.5">
      <c r="A63" s="10" t="s">
        <v>50</v>
      </c>
      <c r="B63" s="18">
        <f>((E30-E29)*B29/E29*(AVERAGE(D33:E33,D35:E35)-AVERAGE(D32:E32,D34:E34))/1000)/F63</f>
        <v>29.045653873123783</v>
      </c>
      <c r="C63" s="33" t="s">
        <v>95</v>
      </c>
      <c r="D63" s="37" t="s">
        <v>86</v>
      </c>
      <c r="E63" s="12" t="s">
        <v>38</v>
      </c>
      <c r="F63" s="36">
        <v>980.0342499580189</v>
      </c>
      <c r="G63" s="10" t="s">
        <v>97</v>
      </c>
      <c r="I63" s="47"/>
      <c r="J63" s="5" t="s">
        <v>19</v>
      </c>
      <c r="K63" s="23">
        <f>F66+0.09*K62</f>
        <v>0.36585488075291345</v>
      </c>
      <c r="L63" s="10" t="s">
        <v>39</v>
      </c>
      <c r="M63" s="5"/>
      <c r="N63" s="5"/>
      <c r="O63" s="5"/>
      <c r="P63" s="5"/>
    </row>
    <row r="64" spans="1:16" ht="15">
      <c r="A64" s="10" t="s">
        <v>51</v>
      </c>
      <c r="B64" s="18">
        <f>B63/1.041</f>
        <v>27.901684796468572</v>
      </c>
      <c r="C64" s="34">
        <f>B64/B$25*100</f>
        <v>51.139451606430661</v>
      </c>
      <c r="D64" s="37" t="s">
        <v>55</v>
      </c>
      <c r="E64" s="12" t="s">
        <v>10</v>
      </c>
      <c r="F64" s="36">
        <v>0.16304815161853242</v>
      </c>
      <c r="G64" s="10" t="s">
        <v>40</v>
      </c>
      <c r="I64" s="47"/>
      <c r="J64" s="5" t="s">
        <v>22</v>
      </c>
      <c r="K64" s="23">
        <f>(J58-J52)/C58</f>
        <v>1.3056087635960476E-2</v>
      </c>
      <c r="L64" s="10" t="s">
        <v>39</v>
      </c>
      <c r="M64" s="5"/>
      <c r="N64" s="5"/>
      <c r="O64" s="5"/>
      <c r="P64" s="5"/>
    </row>
    <row r="65" spans="1:17" ht="15">
      <c r="A65" s="10" t="s">
        <v>52</v>
      </c>
      <c r="B65" s="35">
        <f>B64/0.732</f>
        <v>38.117055732880566</v>
      </c>
      <c r="C65" s="34">
        <f>B65/B$25*100</f>
        <v>69.862638806599278</v>
      </c>
      <c r="D65" s="37" t="s">
        <v>84</v>
      </c>
      <c r="E65" s="12" t="s">
        <v>18</v>
      </c>
      <c r="F65" s="36">
        <v>1.0581112705663502</v>
      </c>
      <c r="G65" s="10" t="s">
        <v>40</v>
      </c>
      <c r="I65" s="47"/>
      <c r="J65" s="4" t="s">
        <v>20</v>
      </c>
      <c r="K65" s="23">
        <f>F65/0.9919</f>
        <v>1.0667519614541288</v>
      </c>
      <c r="L65" s="10" t="s">
        <v>39</v>
      </c>
      <c r="M65" s="5"/>
      <c r="N65" s="5"/>
      <c r="O65" s="5"/>
      <c r="P65" s="5"/>
    </row>
    <row r="66" spans="1:17" ht="15">
      <c r="A66" s="10" t="s">
        <v>53</v>
      </c>
      <c r="B66" s="35">
        <f>B25-B65</f>
        <v>16.442944267119437</v>
      </c>
      <c r="C66" s="34">
        <f>B66/B$25*100</f>
        <v>30.137361193400725</v>
      </c>
      <c r="D66" s="37" t="s">
        <v>85</v>
      </c>
      <c r="E66" s="12" t="s">
        <v>12</v>
      </c>
      <c r="F66" s="36">
        <v>0.33159167652007038</v>
      </c>
      <c r="G66" s="10" t="s">
        <v>39</v>
      </c>
      <c r="I66" s="47"/>
      <c r="J66" s="4" t="s">
        <v>37</v>
      </c>
      <c r="K66" s="23">
        <f>0.063*(K65+K64)</f>
        <v>6.8027907092675616E-2</v>
      </c>
      <c r="L66" s="10" t="s">
        <v>39</v>
      </c>
      <c r="M66" s="5"/>
      <c r="N66" s="5"/>
      <c r="O66" s="5"/>
      <c r="P66" s="5"/>
    </row>
    <row r="67" spans="1:17" ht="16.5" thickBot="1">
      <c r="A67" s="10" t="s">
        <v>54</v>
      </c>
      <c r="B67" s="35">
        <f>B66/B25*100</f>
        <v>30.137361193400725</v>
      </c>
      <c r="C67" s="10"/>
      <c r="D67" s="22"/>
      <c r="E67" s="12" t="s">
        <v>13</v>
      </c>
      <c r="F67" s="5">
        <f>F66/B63</f>
        <v>1.1416223506914928E-2</v>
      </c>
      <c r="G67" s="10" t="s">
        <v>40</v>
      </c>
      <c r="I67" s="47"/>
      <c r="J67" s="5" t="s">
        <v>21</v>
      </c>
      <c r="K67" s="66">
        <f>K65-K63-K66+K64</f>
        <v>0.64592526124450023</v>
      </c>
      <c r="L67" s="10" t="s">
        <v>39</v>
      </c>
      <c r="M67" s="67">
        <f>K67*1000</f>
        <v>645.92526124450023</v>
      </c>
      <c r="N67" s="10" t="s">
        <v>59</v>
      </c>
      <c r="O67" s="62">
        <f>100*K67/(K63+K67+K66)</f>
        <v>59.818526245363266</v>
      </c>
      <c r="P67" s="64" t="s">
        <v>77</v>
      </c>
      <c r="Q67" s="65"/>
    </row>
    <row r="68" spans="1:17" ht="16.5" thickTop="1" thickBot="1">
      <c r="A68" s="10" t="s">
        <v>98</v>
      </c>
      <c r="B68" s="18">
        <f>B25/(B26/100)^2</f>
        <v>23.307274979708659</v>
      </c>
      <c r="C68" s="10"/>
      <c r="D68" s="37"/>
      <c r="E68" s="22"/>
      <c r="F68" s="7"/>
      <c r="G68" s="7"/>
      <c r="H68" s="7"/>
      <c r="I68" s="48"/>
      <c r="J68" s="5" t="s">
        <v>43</v>
      </c>
      <c r="K68" s="24">
        <f>SQRT(K47+L59)</f>
        <v>48.762662201123469</v>
      </c>
      <c r="L68" s="10" t="s">
        <v>11</v>
      </c>
      <c r="P68" s="5"/>
    </row>
    <row r="69" spans="1:17" ht="15" thickTop="1">
      <c r="A69" s="15" t="s">
        <v>99</v>
      </c>
      <c r="B69" s="18">
        <f>B65/(B26/100)^2</f>
        <v>16.283077334734745</v>
      </c>
      <c r="C69" s="4"/>
      <c r="D69" s="37"/>
      <c r="E69" s="7"/>
      <c r="F69" s="7"/>
      <c r="G69" s="7"/>
      <c r="H69" s="7"/>
      <c r="I69" s="7"/>
      <c r="J69" s="5"/>
      <c r="K69" s="5"/>
      <c r="L69" s="5"/>
      <c r="M69" s="5"/>
      <c r="N69" s="5"/>
      <c r="O69" s="5"/>
      <c r="P69" s="5"/>
    </row>
    <row r="70" spans="1:17" ht="14.25">
      <c r="A70" s="15" t="s">
        <v>100</v>
      </c>
      <c r="B70" s="18">
        <f>B66/(B26/100)^2</f>
        <v>7.0241976449739143</v>
      </c>
      <c r="C70" s="4"/>
      <c r="D70" s="37"/>
      <c r="E70" s="7"/>
      <c r="F70" s="7"/>
      <c r="G70" s="7"/>
      <c r="H70" s="7"/>
      <c r="I70" s="7"/>
      <c r="J70" s="5"/>
      <c r="K70" s="5"/>
      <c r="L70" s="5"/>
      <c r="M70" s="5"/>
      <c r="N70" s="5"/>
      <c r="O70" s="5"/>
      <c r="P70" s="5"/>
    </row>
    <row r="71" spans="1:17">
      <c r="A71" s="15" t="s">
        <v>78</v>
      </c>
      <c r="B71" s="5">
        <f>B66/B65</f>
        <v>0.43138022995137609</v>
      </c>
      <c r="C71" s="4"/>
      <c r="D71" s="5"/>
      <c r="E71" s="7"/>
      <c r="F71" s="7"/>
      <c r="G71" s="7"/>
      <c r="H71" s="7"/>
      <c r="I71" s="7"/>
      <c r="J71" s="4"/>
      <c r="K71" s="4"/>
      <c r="L71" s="4"/>
      <c r="M71" s="5"/>
      <c r="N71" s="5"/>
      <c r="O71" s="5"/>
      <c r="P71" s="5"/>
    </row>
    <row r="72" spans="1:17" ht="14.25">
      <c r="A72" s="10" t="s">
        <v>101</v>
      </c>
      <c r="B72" s="1">
        <f>B63*F64</f>
        <v>4.7358401765645004</v>
      </c>
      <c r="C72" s="4"/>
      <c r="D72" s="5"/>
      <c r="E72" s="7"/>
      <c r="F72" s="7"/>
      <c r="G72" s="7"/>
      <c r="H72" s="7"/>
      <c r="I72" s="7"/>
      <c r="J72" s="4"/>
      <c r="K72" s="4"/>
      <c r="L72" s="4"/>
      <c r="M72" s="5"/>
      <c r="N72" s="5"/>
      <c r="O72" s="5"/>
      <c r="P72" s="5"/>
    </row>
    <row r="73" spans="1:17">
      <c r="A73" s="4"/>
      <c r="B73" s="4"/>
      <c r="C73" s="4"/>
      <c r="D73" s="4"/>
      <c r="E73" s="4"/>
      <c r="F73" s="4"/>
      <c r="G73" s="4"/>
      <c r="H73" s="4"/>
      <c r="I73" s="4"/>
      <c r="J73" s="5"/>
      <c r="K73" s="5"/>
      <c r="L73" s="4"/>
      <c r="M73" s="5"/>
      <c r="N73" s="5"/>
      <c r="O73" s="5"/>
      <c r="P73" s="5"/>
    </row>
    <row r="74" spans="1:17">
      <c r="A74" s="4"/>
      <c r="B74" s="4"/>
      <c r="C74" s="4"/>
      <c r="D74" s="4"/>
      <c r="E74" s="4"/>
      <c r="F74" s="4"/>
      <c r="G74" s="4"/>
      <c r="H74" s="4"/>
      <c r="I74" s="4"/>
      <c r="J74" s="5"/>
      <c r="K74" s="5"/>
      <c r="L74" s="4"/>
      <c r="M74" s="5"/>
      <c r="N74" s="5"/>
      <c r="O74" s="5"/>
      <c r="P74" s="5"/>
    </row>
    <row r="75" spans="1:17">
      <c r="A75" s="4"/>
      <c r="B75" s="4"/>
      <c r="C75" s="4"/>
      <c r="D75" s="4"/>
      <c r="E75" s="4"/>
      <c r="F75" s="4"/>
      <c r="G75" s="4"/>
      <c r="H75" s="4"/>
      <c r="I75" s="4"/>
      <c r="J75" s="6"/>
      <c r="K75" s="6"/>
      <c r="L75" s="4"/>
      <c r="M75" s="5"/>
      <c r="N75" s="5"/>
      <c r="O75" s="5"/>
      <c r="P75" s="5"/>
    </row>
    <row r="76" spans="1:17">
      <c r="A76" s="4"/>
      <c r="B76" s="4"/>
      <c r="C76" s="4"/>
      <c r="D76" s="4"/>
      <c r="E76" s="4"/>
      <c r="F76" s="4"/>
      <c r="G76" s="4"/>
      <c r="H76" s="4"/>
      <c r="I76" s="4"/>
      <c r="J76" s="5"/>
      <c r="K76" s="5"/>
      <c r="L76" s="4"/>
      <c r="M76" s="5"/>
      <c r="N76" s="5"/>
      <c r="O76" s="5"/>
      <c r="P76" s="5"/>
    </row>
    <row r="77" spans="1:17">
      <c r="A77" s="4"/>
      <c r="B77" s="4"/>
      <c r="C77" s="4"/>
      <c r="D77" s="4"/>
      <c r="E77" s="4"/>
      <c r="F77" s="4"/>
      <c r="G77" s="4"/>
      <c r="H77" s="4"/>
      <c r="I77" s="4"/>
      <c r="J77" s="5"/>
      <c r="K77" s="6"/>
      <c r="L77" s="4"/>
      <c r="M77" s="5"/>
      <c r="N77" s="5"/>
      <c r="O77" s="5"/>
      <c r="P77" s="5"/>
    </row>
    <row r="78" spans="1:17">
      <c r="A78" s="4"/>
      <c r="B78" s="4"/>
      <c r="C78" s="4"/>
      <c r="D78" s="4"/>
      <c r="E78" s="4"/>
      <c r="F78" s="4"/>
      <c r="G78" s="4"/>
      <c r="H78" s="4"/>
      <c r="I78" s="4"/>
      <c r="J78" s="5"/>
      <c r="K78" s="5"/>
      <c r="L78" s="4"/>
      <c r="M78" s="5"/>
      <c r="N78" s="5"/>
      <c r="O78" s="5"/>
      <c r="P78" s="5"/>
    </row>
    <row r="79" spans="1:17">
      <c r="A79" s="4"/>
      <c r="B79" s="4"/>
      <c r="C79" s="4"/>
      <c r="D79" s="4"/>
      <c r="E79" s="4"/>
      <c r="F79" s="4"/>
      <c r="G79" s="4"/>
      <c r="H79" s="4"/>
      <c r="I79" s="4"/>
      <c r="J79" s="5"/>
      <c r="K79" s="5"/>
      <c r="L79" s="4"/>
      <c r="M79" s="5"/>
      <c r="N79" s="5"/>
      <c r="O79" s="5"/>
      <c r="P79" s="5"/>
    </row>
    <row r="80" spans="1:17">
      <c r="A80" s="4"/>
      <c r="B80" s="4"/>
      <c r="C80" s="4"/>
      <c r="D80" s="4"/>
      <c r="E80" s="4"/>
      <c r="F80" s="4"/>
      <c r="G80" s="4"/>
      <c r="H80" s="4"/>
      <c r="I80" s="4"/>
      <c r="J80" s="5"/>
      <c r="K80" s="5"/>
      <c r="L80" s="5"/>
      <c r="M80" s="5"/>
      <c r="N80" s="5"/>
      <c r="O80" s="5"/>
      <c r="P80" s="5"/>
    </row>
    <row r="81" spans="1:16">
      <c r="A81" s="5"/>
      <c r="B81" s="5"/>
      <c r="C81" s="5"/>
      <c r="D81" s="5"/>
      <c r="E81" s="5"/>
      <c r="F81" s="5"/>
      <c r="G81" s="5"/>
      <c r="H81" s="5"/>
      <c r="I81" s="5"/>
      <c r="J81" s="6"/>
      <c r="K81" s="6"/>
      <c r="L81" s="6"/>
      <c r="M81" s="5"/>
      <c r="N81" s="5"/>
      <c r="O81" s="5"/>
      <c r="P81" s="5"/>
    </row>
    <row r="82" spans="1:16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</row>
    <row r="83" spans="1:16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</row>
    <row r="84" spans="1:16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</row>
    <row r="85" spans="1:16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</row>
    <row r="86" spans="1:1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</row>
    <row r="87" spans="1:16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</row>
    <row r="88" spans="1:16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</row>
    <row r="89" spans="1:16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</row>
    <row r="90" spans="1:16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</row>
    <row r="91" spans="1:16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</row>
    <row r="92" spans="1:16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</row>
    <row r="93" spans="1:16">
      <c r="A93" s="5" t="s">
        <v>79</v>
      </c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</row>
    <row r="94" spans="1:16">
      <c r="A94" s="5" t="s">
        <v>14</v>
      </c>
      <c r="B94" s="5" t="s">
        <v>15</v>
      </c>
      <c r="C94" s="5" t="s">
        <v>16</v>
      </c>
      <c r="D94" s="5" t="s">
        <v>17</v>
      </c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</row>
    <row r="95" spans="1:16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</row>
    <row r="96" spans="1:16">
      <c r="A96" s="5">
        <v>0</v>
      </c>
      <c r="B96" s="5">
        <f t="shared" ref="B96:B159" si="18">F$63*EXP(-F$64*A96)</f>
        <v>980.0342499580189</v>
      </c>
      <c r="C96" s="5">
        <f>(0.951*(E$26+(E$27-E$26)*A96/C$58)^0.729)*(1.009^E25)*(1.044^1)</f>
        <v>3.8164834984997427</v>
      </c>
      <c r="D96" s="5">
        <f t="shared" ref="D96:D159" si="19">$F$63*$F$66/($F$65/C96-$F$64)/C96*(EXP(-$F$64*A96)-EXP(-$F$65/C96*A96))</f>
        <v>0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</row>
    <row r="97" spans="1:16">
      <c r="A97" s="5">
        <f t="shared" ref="A97:A128" si="20">A96+0.1</f>
        <v>0.1</v>
      </c>
      <c r="B97" s="5">
        <f t="shared" si="18"/>
        <v>964.18453711099596</v>
      </c>
      <c r="C97" s="5">
        <f>(0.951*(E$26+(E$27-E$26)*A97/C$58)^0.729)*(1.009^E25)*(1.044^1)</f>
        <v>3.8178005394938039</v>
      </c>
      <c r="D97" s="5">
        <f t="shared" si="19"/>
        <v>8.3267431610966671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</row>
    <row r="98" spans="1:16">
      <c r="A98" s="5">
        <f t="shared" si="20"/>
        <v>0.2</v>
      </c>
      <c r="B98" s="5">
        <f t="shared" si="18"/>
        <v>948.59115550682895</v>
      </c>
      <c r="C98" s="5">
        <f>(0.951*(E$26+(E$27-E$26)*A98/C$58)^0.729)*(1.009^E25)*(1.044^1)</f>
        <v>3.8191174116105024</v>
      </c>
      <c r="D98" s="5">
        <f t="shared" si="19"/>
        <v>16.285750084043435</v>
      </c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</row>
    <row r="99" spans="1:16">
      <c r="A99" s="5">
        <f t="shared" si="20"/>
        <v>0.30000000000000004</v>
      </c>
      <c r="B99" s="5">
        <f t="shared" si="18"/>
        <v>933.24995959999922</v>
      </c>
      <c r="C99" s="5">
        <f>(0.951*(E$26+(E$27-E$26)*A99/C$58)^0.729)*(1.009^E25)*(1.044^1)</f>
        <v>3.8204341149513503</v>
      </c>
      <c r="D99" s="5">
        <f t="shared" si="19"/>
        <v>23.889690032017306</v>
      </c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</row>
    <row r="100" spans="1:16">
      <c r="A100" s="5">
        <f t="shared" si="20"/>
        <v>0.4</v>
      </c>
      <c r="B100" s="5">
        <f t="shared" si="18"/>
        <v>918.15687088928382</v>
      </c>
      <c r="C100" s="5">
        <f>(0.951*(E$26+(E$27-E$26)*A100/C$58)^0.729)*(1.009^E25)*(1.044^1)</f>
        <v>3.8217506496177496</v>
      </c>
      <c r="D100" s="5">
        <f t="shared" si="19"/>
        <v>31.150828438042179</v>
      </c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</row>
    <row r="101" spans="1:16">
      <c r="A101" s="5">
        <f t="shared" si="20"/>
        <v>0.5</v>
      </c>
      <c r="B101" s="5">
        <f t="shared" si="18"/>
        <v>903.30787683347444</v>
      </c>
      <c r="C101" s="5">
        <f>(0.951*(E$26+(E$27-E$26)*A101/C$58)^0.729)*(1.009^E25)*(1.044^1)</f>
        <v>3.8230670157109934</v>
      </c>
      <c r="D101" s="5">
        <f t="shared" si="19"/>
        <v>38.081039461247549</v>
      </c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</row>
    <row r="102" spans="1:16">
      <c r="A102" s="5">
        <f t="shared" si="20"/>
        <v>0.6</v>
      </c>
      <c r="B102" s="5">
        <f t="shared" si="18"/>
        <v>888.69902978463119</v>
      </c>
      <c r="C102" s="5">
        <f>(0.951*(E$26+(E$27-E$26)*A102/C$58)^0.729)*(1.009^E25)*(1.044^1)</f>
        <v>3.8243832133322688</v>
      </c>
      <c r="D102" s="5">
        <f t="shared" si="19"/>
        <v>44.691818153610065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</row>
    <row r="103" spans="1:16">
      <c r="A103" s="5">
        <f t="shared" si="20"/>
        <v>0.7</v>
      </c>
      <c r="B103" s="5">
        <f t="shared" si="18"/>
        <v>874.32644593858936</v>
      </c>
      <c r="C103" s="5">
        <f>(0.951*(E$26+(E$27-E$26)*A103/C$58)^0.729)*(1.009^E25)*(1.044^1)</f>
        <v>3.8256992425826493</v>
      </c>
      <c r="D103" s="5">
        <f t="shared" si="19"/>
        <v>50.994292249367263</v>
      </c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</row>
    <row r="104" spans="1:16">
      <c r="A104" s="5">
        <f t="shared" si="20"/>
        <v>0.79999999999999993</v>
      </c>
      <c r="B104" s="5">
        <f t="shared" si="18"/>
        <v>860.18630430243911</v>
      </c>
      <c r="C104" s="5">
        <f>(0.951*(E$26+(E$27-E$26)*A104/C$58)^0.729)*(1.009^E25)*(1.044^1)</f>
        <v>3.8270151035631037</v>
      </c>
      <c r="D104" s="5">
        <f t="shared" si="19"/>
        <v>56.9992335889022</v>
      </c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</row>
    <row r="105" spans="1:16">
      <c r="A105" s="5">
        <f t="shared" si="20"/>
        <v>0.89999999999999991</v>
      </c>
      <c r="B105" s="5">
        <f t="shared" si="18"/>
        <v>846.2748456787026</v>
      </c>
      <c r="C105" s="5">
        <f>(0.951*(E$26+(E$27-E$26)*A105/C$58)^0.729)*(1.009^E25)*(1.044^1)</f>
        <v>3.8283307963744933</v>
      </c>
      <c r="D105" s="5">
        <f t="shared" si="19"/>
        <v>62.717069188527702</v>
      </c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</row>
    <row r="106" spans="1:16">
      <c r="A106" s="5">
        <f t="shared" si="20"/>
        <v>0.99999999999999989</v>
      </c>
      <c r="B106" s="5">
        <f t="shared" si="18"/>
        <v>832.58837166594174</v>
      </c>
      <c r="C106" s="5">
        <f>(0.951*(E$26+(E$27-E$26)*A106/C$58)^0.729)*(1.009^E25)*(1.044^1)</f>
        <v>3.8296463211175693</v>
      </c>
      <c r="D106" s="5">
        <f t="shared" si="19"/>
        <v>68.157891967233127</v>
      </c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</row>
    <row r="107" spans="1:16">
      <c r="A107" s="5">
        <f t="shared" si="20"/>
        <v>1.0999999999999999</v>
      </c>
      <c r="B107" s="5">
        <f t="shared" si="18"/>
        <v>819.12324367552617</v>
      </c>
      <c r="C107" s="5">
        <f>(0.951*(E$26+(E$27-E$26)*A107/C$58)^0.729)*(1.009^E25)*(1.044^1)</f>
        <v>3.8309616778929767</v>
      </c>
      <c r="D107" s="5">
        <f t="shared" si="19"/>
        <v>73.331471141109148</v>
      </c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</row>
    <row r="108" spans="1:16">
      <c r="A108" s="5">
        <f t="shared" si="20"/>
        <v>1.2</v>
      </c>
      <c r="B108" s="5">
        <f t="shared" si="18"/>
        <v>805.87588196430522</v>
      </c>
      <c r="C108" s="5">
        <f>(0.951*(E$26+(E$27-E$26)*A108/C$58)^0.729)*(1.009^E25)*(1.044^1)</f>
        <v>3.8322768668012501</v>
      </c>
      <c r="D108" s="5">
        <f t="shared" si="19"/>
        <v>78.247262295823163</v>
      </c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</row>
    <row r="109" spans="1:16">
      <c r="A109" s="5">
        <f t="shared" si="20"/>
        <v>1.3</v>
      </c>
      <c r="B109" s="5">
        <f t="shared" si="18"/>
        <v>792.84276468292171</v>
      </c>
      <c r="C109" s="5">
        <f>(0.951*(E$26+(E$27-E$26)*A109/C$58)^0.729)*(1.009^E25)*(1.044^1)</f>
        <v>3.8335918879428208</v>
      </c>
      <c r="D109" s="5">
        <f t="shared" si="19"/>
        <v>82.91441714719403</v>
      </c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</row>
    <row r="110" spans="1:16">
      <c r="A110" s="5">
        <f t="shared" si="20"/>
        <v>1.4000000000000001</v>
      </c>
      <c r="B110" s="5">
        <f t="shared" si="18"/>
        <v>780.02042693951898</v>
      </c>
      <c r="C110" s="5">
        <f>(0.951*(E$26+(E$27-E$26)*A110/C$58)^0.729)*(1.009^E25)*(1.044^1)</f>
        <v>3.8349067414180089</v>
      </c>
      <c r="D110" s="5">
        <f t="shared" si="19"/>
        <v>87.341792999593679</v>
      </c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</row>
    <row r="111" spans="1:16">
      <c r="A111" s="5">
        <f t="shared" si="20"/>
        <v>1.5000000000000002</v>
      </c>
      <c r="B111" s="5">
        <f t="shared" si="18"/>
        <v>767.405459878589</v>
      </c>
      <c r="C111" s="5">
        <f>(0.951*(E$26+(E$27-E$26)*A111/C$58)^0.729)*(1.009^E25)*(1.044^1)</f>
        <v>3.8362214273270299</v>
      </c>
      <c r="D111" s="5">
        <f t="shared" si="19"/>
        <v>91.537961911596327</v>
      </c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</row>
    <row r="112" spans="1:16">
      <c r="A112" s="5">
        <f t="shared" si="20"/>
        <v>1.6000000000000003</v>
      </c>
      <c r="B112" s="5">
        <f t="shared" si="18"/>
        <v>754.99450977471838</v>
      </c>
      <c r="C112" s="5">
        <f>(0.951*(E$26+(E$27-E$26)*A112/C$58)^0.729)*(1.009^E25)*(1.044^1)</f>
        <v>3.837535945769992</v>
      </c>
      <c r="D112" s="5">
        <f t="shared" si="19"/>
        <v>95.511219578000095</v>
      </c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</row>
    <row r="113" spans="1:16">
      <c r="A113" s="5">
        <f t="shared" si="20"/>
        <v>1.7000000000000004</v>
      </c>
      <c r="B113" s="5">
        <f t="shared" si="18"/>
        <v>742.78427714099075</v>
      </c>
      <c r="C113" s="5">
        <f>(0.951*(E$26+(E$27-E$26)*A113/C$58)^0.729)*(1.009^E25)*(1.044^1)</f>
        <v>3.8388502968468949</v>
      </c>
      <c r="D113" s="5">
        <f t="shared" si="19"/>
        <v>99.269593937055632</v>
      </c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</row>
    <row r="114" spans="1:16">
      <c r="A114" s="5">
        <f t="shared" si="20"/>
        <v>1.8000000000000005</v>
      </c>
      <c r="B114" s="5">
        <f t="shared" si="18"/>
        <v>730.77151585180877</v>
      </c>
      <c r="C114" s="5">
        <f>(0.951*(E$26+(E$27-E$26)*A114/C$58)^0.729)*(1.009^E25)*(1.044^1)</f>
        <v>3.8401644806576343</v>
      </c>
      <c r="D114" s="5">
        <f t="shared" si="19"/>
        <v>102.82085351145787</v>
      </c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</row>
    <row r="115" spans="1:16">
      <c r="A115" s="5">
        <f t="shared" si="20"/>
        <v>1.9000000000000006</v>
      </c>
      <c r="B115" s="5">
        <f t="shared" si="18"/>
        <v>718.953032279902</v>
      </c>
      <c r="C115" s="5">
        <f>(0.951*(E$26+(E$27-E$26)*A115/C$58)^0.729)*(1.009^E25)*(1.044^1)</f>
        <v>3.8414784973019955</v>
      </c>
      <c r="D115" s="5">
        <f t="shared" si="19"/>
        <v>106.17251549138935</v>
      </c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</row>
    <row r="116" spans="1:16">
      <c r="A116" s="5">
        <f t="shared" si="20"/>
        <v>2.0000000000000004</v>
      </c>
      <c r="B116" s="5">
        <f t="shared" si="18"/>
        <v>707.32568444729202</v>
      </c>
      <c r="C116" s="5">
        <f>(0.951*(E$26+(E$27-E$26)*A116/C$58)^0.729)*(1.009^E25)*(1.044^1)</f>
        <v>3.8427923468796621</v>
      </c>
      <c r="D116" s="5">
        <f t="shared" si="19"/>
        <v>109.33185356763803</v>
      </c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</row>
    <row r="117" spans="1:16">
      <c r="A117" s="5">
        <f t="shared" si="20"/>
        <v>2.1000000000000005</v>
      </c>
      <c r="B117" s="5">
        <f t="shared" si="18"/>
        <v>695.88638118998881</v>
      </c>
      <c r="C117" s="5">
        <f>(0.951*(E$26+(E$27-E$26)*A117/C$58)^0.729)*(1.009^E25)*(1.044^1)</f>
        <v>3.8441060294902099</v>
      </c>
      <c r="D117" s="5">
        <f t="shared" si="19"/>
        <v>112.3059055225652</v>
      </c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</row>
    <row r="118" spans="1:16">
      <c r="A118" s="5">
        <f t="shared" si="20"/>
        <v>2.2000000000000006</v>
      </c>
      <c r="B118" s="5">
        <f t="shared" si="18"/>
        <v>684.63208133619514</v>
      </c>
      <c r="C118" s="5">
        <f>(0.951*(E$26+(E$27-E$26)*A118/C$58)^0.729)*(1.009^E25)*(1.044^1)</f>
        <v>3.8454195452331064</v>
      </c>
      <c r="D118" s="5">
        <f t="shared" si="19"/>
        <v>115.10148058644802</v>
      </c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</row>
    <row r="119" spans="1:16">
      <c r="A119" s="5">
        <f t="shared" si="20"/>
        <v>2.3000000000000007</v>
      </c>
      <c r="B119" s="5">
        <f t="shared" si="18"/>
        <v>673.55979289780316</v>
      </c>
      <c r="C119" s="5">
        <f>(0.951*(E$26+(E$27-E$26)*A119/C$58)^0.729)*(1.009^E25)*(1.044^1)</f>
        <v>3.8467328942077144</v>
      </c>
      <c r="D119" s="5">
        <f t="shared" si="19"/>
        <v>117.72516656649047</v>
      </c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</row>
    <row r="120" spans="1:16">
      <c r="A120" s="5">
        <f t="shared" si="20"/>
        <v>2.4000000000000008</v>
      </c>
      <c r="B120" s="5">
        <f t="shared" si="18"/>
        <v>662.66657227496501</v>
      </c>
      <c r="C120" s="5">
        <f>(0.951*(E$26+(E$27-E$26)*A120/C$58)^0.729)*(1.009^E25)*(1.044^1)</f>
        <v>3.8480460765132936</v>
      </c>
      <c r="D120" s="5">
        <f t="shared" si="19"/>
        <v>120.18333675556201</v>
      </c>
      <c r="E120" s="4"/>
      <c r="F120" s="5"/>
      <c r="G120" s="5"/>
      <c r="H120" s="5"/>
      <c r="I120" s="5"/>
      <c r="J120" s="4"/>
      <c r="K120" s="4"/>
      <c r="L120" s="4"/>
      <c r="M120" s="5"/>
      <c r="N120" s="5"/>
      <c r="O120" s="5"/>
      <c r="P120" s="5"/>
    </row>
    <row r="121" spans="1:16">
      <c r="A121" s="5">
        <f t="shared" si="20"/>
        <v>2.5000000000000009</v>
      </c>
      <c r="B121" s="5">
        <f t="shared" si="18"/>
        <v>651.94952347352864</v>
      </c>
      <c r="C121" s="5">
        <f>(0.951*(E$26+(E$27-E$26)*A121/C$58)^0.729)*(1.009^E25)*(1.044^1)</f>
        <v>3.8493590922489949</v>
      </c>
      <c r="D121" s="5">
        <f t="shared" si="19"/>
        <v>122.48215662750481</v>
      </c>
      <c r="E121" s="4"/>
      <c r="F121" s="5"/>
      <c r="G121" s="5"/>
      <c r="H121" s="5"/>
      <c r="I121" s="4"/>
      <c r="J121" s="4"/>
      <c r="K121" s="4"/>
      <c r="L121" s="4"/>
      <c r="M121" s="5"/>
      <c r="N121" s="5"/>
      <c r="O121" s="5"/>
      <c r="P121" s="5"/>
    </row>
    <row r="122" spans="1:16">
      <c r="A122" s="5">
        <f t="shared" si="20"/>
        <v>2.600000000000001</v>
      </c>
      <c r="B122" s="5">
        <f t="shared" si="18"/>
        <v>641.40579733512936</v>
      </c>
      <c r="C122" s="5">
        <f>(0.951*(E$26+(E$27-E$26)*A122/C$58)^0.729)*(1.009^E25)*(1.044^1)</f>
        <v>3.850671941513867</v>
      </c>
      <c r="D122" s="5">
        <f t="shared" si="19"/>
        <v>124.62759032563295</v>
      </c>
      <c r="E122" s="4"/>
      <c r="F122" s="5"/>
      <c r="G122" s="5"/>
      <c r="H122" s="5"/>
      <c r="I122" s="4"/>
      <c r="J122" s="4"/>
      <c r="K122" s="4"/>
      <c r="L122" s="4"/>
      <c r="M122" s="5"/>
      <c r="N122" s="5"/>
      <c r="O122" s="5"/>
      <c r="P122" s="5"/>
    </row>
    <row r="123" spans="1:16">
      <c r="A123" s="5">
        <f t="shared" si="20"/>
        <v>2.7000000000000011</v>
      </c>
      <c r="B123" s="5">
        <f t="shared" si="18"/>
        <v>631.03259077973291</v>
      </c>
      <c r="C123" s="5">
        <f>(0.951*(E$26+(E$27-E$26)*A123/C$58)^0.729)*(1.009^E25)*(1.044^1)</f>
        <v>3.8519846244068492</v>
      </c>
      <c r="D123" s="5">
        <f t="shared" si="19"/>
        <v>126.62540695084112</v>
      </c>
      <c r="E123" s="4"/>
      <c r="F123" s="5"/>
      <c r="G123" s="5"/>
      <c r="H123" s="5"/>
      <c r="I123" s="4"/>
      <c r="J123" s="4"/>
      <c r="K123" s="4"/>
      <c r="L123" s="4"/>
      <c r="M123" s="5"/>
      <c r="N123" s="5"/>
      <c r="O123" s="5"/>
      <c r="P123" s="5"/>
    </row>
    <row r="124" spans="1:16">
      <c r="A124" s="5">
        <f t="shared" si="20"/>
        <v>2.8000000000000012</v>
      </c>
      <c r="B124" s="5">
        <f t="shared" si="18"/>
        <v>620.82714606042828</v>
      </c>
      <c r="C124" s="5">
        <f>(0.951*(E$26+(E$27-E$26)*A124/C$58)^0.729)*(1.009^E25)*(1.044^1)</f>
        <v>3.8532971410267809</v>
      </c>
      <c r="D124" s="5">
        <f t="shared" si="19"/>
        <v>128.4811866555365</v>
      </c>
      <c r="E124" s="4"/>
      <c r="F124" s="5"/>
      <c r="G124" s="5"/>
      <c r="H124" s="5"/>
      <c r="I124" s="4"/>
      <c r="J124" s="4"/>
      <c r="K124" s="4"/>
      <c r="L124" s="4"/>
      <c r="M124" s="5"/>
      <c r="N124" s="5"/>
      <c r="O124" s="5"/>
      <c r="P124" s="5"/>
    </row>
    <row r="125" spans="1:16">
      <c r="A125" s="5">
        <f t="shared" si="20"/>
        <v>2.9000000000000012</v>
      </c>
      <c r="B125" s="5">
        <f t="shared" si="18"/>
        <v>610.78675003027308</v>
      </c>
      <c r="C125" s="5">
        <f>(0.951*(E$26+(E$27-E$26)*A125/C$58)^0.729)*(1.009^E25)*(1.044^1)</f>
        <v>3.8546094914723912</v>
      </c>
      <c r="D125" s="5">
        <f t="shared" si="19"/>
        <v>130.20032654941531</v>
      </c>
      <c r="E125" s="4"/>
      <c r="F125" s="5"/>
      <c r="G125" s="5"/>
      <c r="H125" s="5"/>
      <c r="I125" s="4"/>
      <c r="J125" s="4"/>
      <c r="K125" s="4"/>
      <c r="L125" s="4"/>
      <c r="M125" s="5"/>
      <c r="N125" s="5"/>
      <c r="O125" s="5"/>
      <c r="P125" s="5"/>
    </row>
    <row r="126" spans="1:16">
      <c r="A126" s="5">
        <f t="shared" si="20"/>
        <v>3.0000000000000013</v>
      </c>
      <c r="B126" s="5">
        <f t="shared" si="18"/>
        <v>600.90873342099565</v>
      </c>
      <c r="C126" s="5">
        <f>(0.951*(E$26+(E$27-E$26)*A126/C$58)^0.729)*(1.009^E25)*(1.044^1)</f>
        <v>3.8559216758423096</v>
      </c>
      <c r="D126" s="5">
        <f t="shared" si="19"/>
        <v>131.78804642291288</v>
      </c>
      <c r="E126" s="4"/>
      <c r="F126" s="5"/>
      <c r="G126" s="5"/>
      <c r="H126" s="5"/>
      <c r="I126" s="4"/>
      <c r="J126" s="4"/>
      <c r="K126" s="4"/>
      <c r="L126" s="4"/>
      <c r="M126" s="5"/>
      <c r="N126" s="5"/>
      <c r="O126" s="5"/>
      <c r="P126" s="5"/>
    </row>
    <row r="127" spans="1:16">
      <c r="A127" s="5">
        <f t="shared" si="20"/>
        <v>3.1000000000000014</v>
      </c>
      <c r="B127" s="5">
        <f t="shared" si="18"/>
        <v>591.19047013336149</v>
      </c>
      <c r="C127" s="5">
        <f>(0.951*(E$26+(E$27-E$26)*A127/C$58)^0.729)*(1.009^E25)*(1.044^1)</f>
        <v>3.8572336942350578</v>
      </c>
      <c r="D127" s="5">
        <f t="shared" si="19"/>
        <v>133.24939429397861</v>
      </c>
      <c r="E127" s="4"/>
      <c r="F127" s="5"/>
      <c r="G127" s="5"/>
      <c r="H127" s="5"/>
      <c r="I127" s="4"/>
      <c r="J127" s="4"/>
      <c r="K127" s="4"/>
      <c r="L127" s="4"/>
      <c r="M127" s="5"/>
      <c r="N127" s="5"/>
      <c r="O127" s="5"/>
      <c r="P127" s="5"/>
    </row>
    <row r="128" spans="1:16">
      <c r="A128" s="5">
        <f t="shared" si="20"/>
        <v>3.2000000000000015</v>
      </c>
      <c r="B128" s="5">
        <f t="shared" si="18"/>
        <v>581.62937653901849</v>
      </c>
      <c r="C128" s="5">
        <f>(0.951*(E$26+(E$27-E$26)*A128/C$58)^0.729)*(1.009^E25)*(1.044^1)</f>
        <v>3.8585455467490535</v>
      </c>
      <c r="D128" s="5">
        <f t="shared" si="19"/>
        <v>134.5892517836441</v>
      </c>
      <c r="E128" s="4"/>
      <c r="F128" s="5"/>
      <c r="G128" s="5"/>
      <c r="H128" s="5"/>
      <c r="I128" s="4"/>
      <c r="J128" s="4"/>
      <c r="K128" s="4"/>
      <c r="L128" s="4"/>
      <c r="M128" s="5"/>
      <c r="N128" s="5"/>
      <c r="O128" s="5"/>
      <c r="P128" s="5"/>
    </row>
    <row r="129" spans="1:16">
      <c r="A129" s="5">
        <f t="shared" ref="A129:A160" si="21">A128+0.1</f>
        <v>3.3000000000000016</v>
      </c>
      <c r="B129" s="5">
        <f t="shared" si="18"/>
        <v>572.22291079363129</v>
      </c>
      <c r="C129" s="5">
        <f>(0.951*(E$26+(E$27-E$26)*A129/C$58)^0.729)*(1.009^E25)*(1.044^1)</f>
        <v>3.8598572334826113</v>
      </c>
      <c r="D129" s="5">
        <f t="shared" si="19"/>
        <v>135.81233932568691</v>
      </c>
      <c r="E129" s="4"/>
      <c r="F129" s="5"/>
      <c r="G129" s="5"/>
      <c r="H129" s="5"/>
      <c r="I129" s="4"/>
      <c r="J129" s="4"/>
      <c r="K129" s="4"/>
      <c r="L129" s="4"/>
      <c r="M129" s="5"/>
      <c r="N129" s="5"/>
      <c r="O129" s="5"/>
      <c r="P129" s="5"/>
    </row>
    <row r="130" spans="1:16">
      <c r="A130" s="5">
        <f t="shared" si="21"/>
        <v>3.4000000000000017</v>
      </c>
      <c r="B130" s="5">
        <f t="shared" si="18"/>
        <v>562.96857216112414</v>
      </c>
      <c r="C130" s="5">
        <f>(0.915*(E$26+(E$27-E$26)*A130/C$58)^0.729)*(1.009^E25)*(1.044^1)</f>
        <v>3.715004637643065</v>
      </c>
      <c r="D130" s="5">
        <f t="shared" si="19"/>
        <v>139.89425531883666</v>
      </c>
      <c r="E130" s="4"/>
      <c r="F130" s="5"/>
      <c r="G130" s="5"/>
      <c r="H130" s="5"/>
      <c r="I130" s="4"/>
      <c r="J130" s="5"/>
      <c r="K130" s="5"/>
      <c r="L130" s="5"/>
      <c r="M130" s="5"/>
      <c r="N130" s="5"/>
      <c r="O130" s="5"/>
      <c r="P130" s="5"/>
    </row>
    <row r="131" spans="1:16">
      <c r="A131" s="5">
        <f t="shared" si="21"/>
        <v>3.5000000000000018</v>
      </c>
      <c r="B131" s="5">
        <f t="shared" si="18"/>
        <v>553.86390034885369</v>
      </c>
      <c r="C131" s="5">
        <f>(0.951*(E$26+(E$27-E$26)*A131/C$58)^0.729)*(1.009^E25)*(1.044^1)</f>
        <v>3.862480110001147</v>
      </c>
      <c r="D131" s="5">
        <f t="shared" si="19"/>
        <v>137.92631050329734</v>
      </c>
      <c r="E131" s="4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</row>
    <row r="132" spans="1:16">
      <c r="A132" s="5">
        <f t="shared" si="21"/>
        <v>3.6000000000000019</v>
      </c>
      <c r="B132" s="5">
        <f t="shared" si="18"/>
        <v>544.90647485353293</v>
      </c>
      <c r="C132" s="5">
        <f>(0.951*(E$26+(E$27-E$26)*A132/C$58)^0.729)*(1.009^E25)*(1.044^1)</f>
        <v>3.8637912999822341</v>
      </c>
      <c r="D132" s="5">
        <f t="shared" si="19"/>
        <v>138.82587373600578</v>
      </c>
      <c r="E132" s="4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</row>
    <row r="133" spans="1:16">
      <c r="A133" s="5">
        <f t="shared" si="21"/>
        <v>3.700000000000002</v>
      </c>
      <c r="B133" s="5">
        <f t="shared" si="18"/>
        <v>536.09391431773338</v>
      </c>
      <c r="C133" s="5">
        <f>(0.951*(E$26+(E$27-E$26)*A133/C$58)^0.729)*(1.009^E25)*(1.044^1)</f>
        <v>3.8651023245751004</v>
      </c>
      <c r="D133" s="5">
        <f t="shared" si="19"/>
        <v>139.62603555328965</v>
      </c>
      <c r="E133" s="4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</row>
    <row r="134" spans="1:16">
      <c r="A134" s="5">
        <f t="shared" si="21"/>
        <v>3.800000000000002</v>
      </c>
      <c r="B134" s="5">
        <f t="shared" si="18"/>
        <v>527.4238758967939</v>
      </c>
      <c r="C134" s="5">
        <f>(0.951*(E$26+(E$27-E$26)*A134/C$58)^0.729)*(1.009^E25)*(1.044^1)</f>
        <v>3.8664131838775408</v>
      </c>
      <c r="D134" s="5">
        <f t="shared" si="19"/>
        <v>140.33078314144996</v>
      </c>
      <c r="E134" s="4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</row>
    <row r="135" spans="1:16">
      <c r="A135" s="5">
        <f t="shared" si="21"/>
        <v>3.9000000000000021</v>
      </c>
      <c r="B135" s="5">
        <f t="shared" si="18"/>
        <v>518.8940546359695</v>
      </c>
      <c r="C135" s="5">
        <f>(0.951*(E$26+(E$27-E$26)*A135/C$58)^0.729)*(1.009^E25)*(1.044^1)</f>
        <v>3.8677238779872458</v>
      </c>
      <c r="D135" s="5">
        <f t="shared" si="19"/>
        <v>140.94397055004836</v>
      </c>
      <c r="E135" s="4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</row>
    <row r="136" spans="1:16">
      <c r="A136" s="5">
        <f t="shared" si="21"/>
        <v>4.0000000000000018</v>
      </c>
      <c r="B136" s="5">
        <f t="shared" si="18"/>
        <v>510.50218285765169</v>
      </c>
      <c r="C136" s="5">
        <f>(0.951*(E$26+(E$27-E$26)*A136/C$58)^0.729)*(1.009^E25)*(1.044^1)</f>
        <v>3.8690344070018066</v>
      </c>
      <c r="D136" s="5">
        <f t="shared" si="19"/>
        <v>141.46932287533963</v>
      </c>
      <c r="E136" s="4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</row>
    <row r="137" spans="1:16">
      <c r="A137" s="5">
        <f t="shared" si="21"/>
        <v>4.1000000000000014</v>
      </c>
      <c r="B137" s="5">
        <f t="shared" si="18"/>
        <v>502.24602955850048</v>
      </c>
      <c r="C137" s="5">
        <f>(0.951*(E$26+(E$27-E$26)*A137/C$58)^0.729)*(1.009^E25)*(1.044^1)</f>
        <v>3.8703447710187082</v>
      </c>
      <c r="D137" s="5">
        <f t="shared" si="19"/>
        <v>141.91044031465074</v>
      </c>
      <c r="E137" s="4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</row>
    <row r="138" spans="1:16">
      <c r="A138" s="5">
        <f t="shared" si="21"/>
        <v>4.2000000000000011</v>
      </c>
      <c r="B138" s="5">
        <f t="shared" si="18"/>
        <v>494.12339981632499</v>
      </c>
      <c r="C138" s="5">
        <f>(0.951*(E$26+(E$27-E$26)*A138/C$58)^0.729)*(1.009^E25)*(1.044^1)</f>
        <v>3.8716549701353324</v>
      </c>
      <c r="D138" s="5">
        <f t="shared" si="19"/>
        <v>142.27080209568592</v>
      </c>
      <c r="E138" s="4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</row>
    <row r="139" spans="1:16">
      <c r="A139" s="5">
        <f t="shared" si="21"/>
        <v>4.3000000000000007</v>
      </c>
      <c r="B139" s="5">
        <f t="shared" si="18"/>
        <v>486.13213420655791</v>
      </c>
      <c r="C139" s="5">
        <f>(0.951*(E$26+(E$27-E$26)*A139/C$58)^0.729)*(1.009^E25)*(1.044^1)</f>
        <v>3.872965004448961</v>
      </c>
      <c r="D139" s="5">
        <f t="shared" si="19"/>
        <v>142.55377028461993</v>
      </c>
      <c r="E139" s="4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</row>
    <row r="140" spans="1:16">
      <c r="A140" s="5">
        <f t="shared" si="21"/>
        <v>4.4000000000000004</v>
      </c>
      <c r="B140" s="5">
        <f t="shared" si="18"/>
        <v>478.27010822816544</v>
      </c>
      <c r="C140" s="5">
        <f>(0.951*(E$26+(E$27-E$26)*A140/C$58)^0.729)*(1.009^E25)*(1.044^1)</f>
        <v>3.874274874056773</v>
      </c>
      <c r="D140" s="5">
        <f t="shared" si="19"/>
        <v>142.76259347671436</v>
      </c>
      <c r="E140" s="4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</row>
    <row r="141" spans="1:16">
      <c r="A141" s="5">
        <f t="shared" si="21"/>
        <v>4.5</v>
      </c>
      <c r="B141" s="5">
        <f t="shared" si="18"/>
        <v>470.53523173884304</v>
      </c>
      <c r="C141" s="5">
        <f>(0.951*(E$26+(E$27-E$26)*A141/C$58)^0.729)*(1.009^E25)*(1.044^1)</f>
        <v>3.8755845790558414</v>
      </c>
      <c r="D141" s="5">
        <f t="shared" si="19"/>
        <v>142.90041037308399</v>
      </c>
      <c r="E141" s="4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</row>
    <row r="142" spans="1:16">
      <c r="A142" s="5">
        <f t="shared" si="21"/>
        <v>4.5999999999999996</v>
      </c>
      <c r="B142" s="5">
        <f t="shared" si="18"/>
        <v>462.92544839934499</v>
      </c>
      <c r="C142" s="5">
        <f>(0.951*(E$26+(E$27-E$26)*A142/C$58)^0.729)*(1.009^E25)*(1.044^1)</f>
        <v>3.8768941195431421</v>
      </c>
      <c r="D142" s="5">
        <f t="shared" si="19"/>
        <v>142.97025324711851</v>
      </c>
      <c r="E142" s="4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</row>
    <row r="143" spans="1:16">
      <c r="A143" s="5">
        <f t="shared" si="21"/>
        <v>4.6999999999999993</v>
      </c>
      <c r="B143" s="5">
        <f t="shared" si="18"/>
        <v>455.4387351268004</v>
      </c>
      <c r="C143" s="5">
        <f>(0.951*(E$26+(E$27-E$26)*A143/C$58)^0.729)*(1.009^E25)*(1.044^1)</f>
        <v>3.8782034956155438</v>
      </c>
      <c r="D143" s="5">
        <f t="shared" si="19"/>
        <v>142.97505130396283</v>
      </c>
      <c r="E143" s="4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</row>
    <row r="144" spans="1:16">
      <c r="A144" s="5">
        <f t="shared" si="21"/>
        <v>4.7999999999999989</v>
      </c>
      <c r="B144" s="5">
        <f t="shared" si="18"/>
        <v>448.07310155687128</v>
      </c>
      <c r="C144" s="5">
        <f>(0.951*(E$26+(E$27-E$26)*A144/C$58)^0.729)*(1.009^E25)*(1.044^1)</f>
        <v>3.8795127073698183</v>
      </c>
      <c r="D144" s="5">
        <f t="shared" si="19"/>
        <v>142.91763393634935</v>
      </c>
      <c r="E144" s="4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</row>
    <row r="145" spans="1:16">
      <c r="A145" s="5">
        <f t="shared" si="21"/>
        <v>4.8999999999999986</v>
      </c>
      <c r="B145" s="5">
        <f t="shared" si="18"/>
        <v>440.82658951460797</v>
      </c>
      <c r="C145" s="5">
        <f>(0.951*(E$26+(E$27-E$26)*A145/C$58)^0.729)*(1.009^E25)*(1.044^1)</f>
        <v>3.8808217549026325</v>
      </c>
      <c r="D145" s="5">
        <f t="shared" si="19"/>
        <v>142.80073387997521</v>
      </c>
      <c r="E145" s="4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</row>
    <row r="146" spans="1:16">
      <c r="A146" s="5">
        <f t="shared" si="21"/>
        <v>4.9999999999999982</v>
      </c>
      <c r="B146" s="5">
        <f t="shared" si="18"/>
        <v>433.69727249386278</v>
      </c>
      <c r="C146" s="5">
        <f>(0.951*(E$26+(E$27-E$26)*A146/C$58)^0.729)*(1.009^E25)*(1.044^1)</f>
        <v>3.8821306383105529</v>
      </c>
      <c r="D146" s="5">
        <f t="shared" si="19"/>
        <v>142.62699027151686</v>
      </c>
      <c r="E146" s="4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</row>
    <row r="147" spans="1:16">
      <c r="A147" s="5">
        <f t="shared" si="21"/>
        <v>5.0999999999999979</v>
      </c>
      <c r="B147" s="5">
        <f t="shared" si="18"/>
        <v>426.68325514512293</v>
      </c>
      <c r="C147" s="5">
        <f>(0.951*(E$26+(E$27-E$26)*A147/C$58)^0.729)*(1.009^E25)*(1.044^1)</f>
        <v>3.8834393576900439</v>
      </c>
      <c r="D147" s="5">
        <f t="shared" si="19"/>
        <v>142.39895161227992</v>
      </c>
      <c r="E147" s="4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</row>
    <row r="148" spans="1:16">
      <c r="A148" s="5">
        <f t="shared" si="21"/>
        <v>5.1999999999999975</v>
      </c>
      <c r="B148" s="5">
        <f t="shared" si="18"/>
        <v>419.78267277162638</v>
      </c>
      <c r="C148" s="5">
        <f>(0.951*(E$26+(E$27-E$26)*A148/C$58)^0.729)*(1.009^E25)*(1.044^1)</f>
        <v>3.8847479131374696</v>
      </c>
      <c r="D148" s="5">
        <f t="shared" si="19"/>
        <v>142.11907864038758</v>
      </c>
      <c r="E148" s="4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</row>
    <row r="149" spans="1:16">
      <c r="A149" s="5">
        <f t="shared" si="21"/>
        <v>5.2999999999999972</v>
      </c>
      <c r="B149" s="5">
        <f t="shared" si="18"/>
        <v>412.99369083362672</v>
      </c>
      <c r="C149" s="5">
        <f>(0.951*(E$26+(E$27-E$26)*A149/C$58)^0.729)*(1.009^E25)*(1.044^1)</f>
        <v>3.8860563047490913</v>
      </c>
      <c r="D149" s="5">
        <f t="shared" si="19"/>
        <v>141.78974711432221</v>
      </c>
      <c r="E149" s="4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</row>
    <row r="150" spans="1:16">
      <c r="A150" s="5">
        <f t="shared" si="21"/>
        <v>5.3999999999999968</v>
      </c>
      <c r="B150" s="5">
        <f t="shared" si="18"/>
        <v>406.31450446067544</v>
      </c>
      <c r="C150" s="5">
        <f>(0.951*(E$26+(E$27-E$26)*A150/C$58)^0.729)*(1.009^E25)*(1.044^1)</f>
        <v>3.8873645326210711</v>
      </c>
      <c r="D150" s="5">
        <f t="shared" si="19"/>
        <v>141.41325051054602</v>
      </c>
      <c r="E150" s="4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</row>
    <row r="151" spans="1:16">
      <c r="A151" s="5">
        <f t="shared" si="21"/>
        <v>5.4999999999999964</v>
      </c>
      <c r="B151" s="5">
        <f t="shared" si="18"/>
        <v>399.74333797179207</v>
      </c>
      <c r="C151" s="5">
        <f>(0.951*(E$26+(E$27-E$26)*A151/C$58)^0.729)*(1.009^E25)*(1.044^1)</f>
        <v>3.8886725968494704</v>
      </c>
      <c r="D151" s="5">
        <f t="shared" si="19"/>
        <v>140.9918026378439</v>
      </c>
      <c r="E151" s="4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</row>
    <row r="152" spans="1:16">
      <c r="A152" s="5">
        <f t="shared" si="21"/>
        <v>5.5999999999999961</v>
      </c>
      <c r="B152" s="5">
        <f t="shared" si="18"/>
        <v>393.27844440339408</v>
      </c>
      <c r="C152" s="5">
        <f>(0.951*(E$26+(E$27-E$26)*A152/C$58)^0.729)*(1.009^E25)*(1.044^1)</f>
        <v>3.8899804975302485</v>
      </c>
      <c r="D152" s="5">
        <f t="shared" si="19"/>
        <v>140.52754017094801</v>
      </c>
      <c r="E152" s="4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</row>
    <row r="153" spans="1:16">
      <c r="A153" s="5">
        <f t="shared" si="21"/>
        <v>5.6999999999999957</v>
      </c>
      <c r="B153" s="5">
        <f t="shared" si="18"/>
        <v>386.91810504486182</v>
      </c>
      <c r="C153" s="5">
        <f>(0.951*(E$26+(E$27-E$26)*A153/C$58)^0.729)*(1.009^E25)*(1.044^1)</f>
        <v>3.8912882347592661</v>
      </c>
      <c r="D153" s="5">
        <f t="shared" si="19"/>
        <v>140.02252510592569</v>
      </c>
      <c r="E153" s="4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</row>
    <row r="154" spans="1:16">
      <c r="A154" s="5">
        <f t="shared" si="21"/>
        <v>5.7999999999999954</v>
      </c>
      <c r="B154" s="5">
        <f t="shared" si="18"/>
        <v>380.66062898161402</v>
      </c>
      <c r="C154" s="5">
        <f>(0.951*(E$26+(E$27-E$26)*A154/C$58)^0.729)*(1.009^E25)*(1.044^1)</f>
        <v>3.8925958086322798</v>
      </c>
      <c r="D154" s="5">
        <f t="shared" si="19"/>
        <v>139.47874713973422</v>
      </c>
      <c r="E154" s="4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</row>
    <row r="155" spans="1:16">
      <c r="A155" s="5">
        <f t="shared" si="21"/>
        <v>5.899999999999995</v>
      </c>
      <c r="B155" s="5">
        <f t="shared" si="18"/>
        <v>374.50435264557359</v>
      </c>
      <c r="C155" s="5">
        <f>(0.951*(E$26+(E$27-E$26)*A155/C$58)^0.729)*(1.009^E25)*(1.044^1)</f>
        <v>3.8939032192449519</v>
      </c>
      <c r="D155" s="5">
        <f t="shared" si="19"/>
        <v>138.89812597627289</v>
      </c>
      <c r="E155" s="4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</row>
    <row r="156" spans="1:16">
      <c r="A156" s="5">
        <f t="shared" si="21"/>
        <v>5.9999999999999947</v>
      </c>
      <c r="B156" s="5">
        <f t="shared" si="18"/>
        <v>368.44763937290298</v>
      </c>
      <c r="C156" s="5">
        <f>(0.951*(E$26+(E$27-E$26)*A156/C$58)^0.729)*(1.009^E25)*(1.044^1)</f>
        <v>3.8952104666928378</v>
      </c>
      <c r="D156" s="5">
        <f t="shared" si="19"/>
        <v>138.28251356118997</v>
      </c>
      <c r="E156" s="4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</row>
    <row r="157" spans="1:16">
      <c r="A157" s="5">
        <f t="shared" si="21"/>
        <v>6.0999999999999943</v>
      </c>
      <c r="B157" s="5">
        <f t="shared" si="18"/>
        <v>362.48887896889249</v>
      </c>
      <c r="C157" s="5">
        <f>(0.951*(E$26+(E$27-E$26)*A157/C$58)^0.729)*(1.009^E25)*(1.044^1)</f>
        <v>3.8965175510713985</v>
      </c>
      <c r="D157" s="5">
        <f t="shared" si="19"/>
        <v>137.63369624763158</v>
      </c>
      <c r="E157" s="4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</row>
    <row r="158" spans="1:16">
      <c r="A158" s="5">
        <f t="shared" si="21"/>
        <v>6.199999999999994</v>
      </c>
      <c r="B158" s="5">
        <f t="shared" si="18"/>
        <v>356.62648727988545</v>
      </c>
      <c r="C158" s="5">
        <f>(0.951*(E$26+(E$27-E$26)*A158/C$58)^0.729)*(1.009^E25)*(1.044^1)</f>
        <v>3.8978244724759947</v>
      </c>
      <c r="D158" s="5">
        <f t="shared" si="19"/>
        <v>136.95339689505508</v>
      </c>
      <c r="E158" s="4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</row>
    <row r="159" spans="1:16">
      <c r="A159" s="5">
        <f t="shared" si="21"/>
        <v>6.2999999999999936</v>
      </c>
      <c r="B159" s="5">
        <f t="shared" si="18"/>
        <v>350.85890577212609</v>
      </c>
      <c r="C159" s="5">
        <f>(0.951*(E$26+(E$27-E$26)*A159/C$58)^0.729)*(1.009^E25)*(1.044^1)</f>
        <v>3.899131231001884</v>
      </c>
      <c r="D159" s="5">
        <f t="shared" si="19"/>
        <v>136.243276903159</v>
      </c>
      <c r="E159" s="4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</row>
    <row r="160" spans="1:16">
      <c r="A160" s="5">
        <f t="shared" si="21"/>
        <v>6.3999999999999932</v>
      </c>
      <c r="B160" s="5">
        <f t="shared" ref="B160:B223" si="22">F$63*EXP(-F$64*A160)</f>
        <v>345.18460111741933</v>
      </c>
      <c r="C160" s="5">
        <f>(0.951*(E$26+(E$27-E$26)*A160/C$58)^0.729)*(1.009^E25)*(1.044^1)</f>
        <v>3.9004378267442275</v>
      </c>
      <c r="D160" s="5">
        <f t="shared" ref="D160:D223" si="23">$F$63*$F$66/($F$65/C160-$F$64)/C160*(EXP(-$F$64*A160)-EXP(-$F$65/C160*A160))</f>
        <v>135.50493818292253</v>
      </c>
      <c r="E160" s="4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</row>
    <row r="161" spans="1:16">
      <c r="A161" s="5">
        <f t="shared" ref="A161:A192" si="24">A160+0.1</f>
        <v>6.4999999999999929</v>
      </c>
      <c r="B161" s="5">
        <f t="shared" si="22"/>
        <v>339.60206478549054</v>
      </c>
      <c r="C161" s="5">
        <f>(0.951*(E$26+(E$27-E$26)*A161/C$58)^0.729)*(1.009^E25)*(1.044^1)</f>
        <v>3.9017442597980856</v>
      </c>
      <c r="D161" s="5">
        <f t="shared" si="23"/>
        <v>134.73992506668438</v>
      </c>
      <c r="E161" s="4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</row>
    <row r="162" spans="1:16">
      <c r="A162" s="5">
        <f t="shared" si="24"/>
        <v>6.5999999999999925</v>
      </c>
      <c r="B162" s="5">
        <f t="shared" si="22"/>
        <v>334.10981264293872</v>
      </c>
      <c r="C162" s="5">
        <f>(0.951*(E$26+(E$27-E$26)*A162/C$58)^0.729)*(1.009^E25)*(1.044^1)</f>
        <v>3.903050530258422</v>
      </c>
      <c r="D162" s="5">
        <f t="shared" si="23"/>
        <v>133.94972615913056</v>
      </c>
      <c r="E162" s="4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</row>
    <row r="163" spans="1:16">
      <c r="A163" s="5">
        <f t="shared" si="24"/>
        <v>6.6999999999999922</v>
      </c>
      <c r="B163" s="5">
        <f t="shared" si="22"/>
        <v>328.70638455867532</v>
      </c>
      <c r="C163" s="5">
        <f>(0.951*(E$26+(E$27-E$26)*A163/C$58)^0.729)*(1.009^E25)*(1.044^1)</f>
        <v>3.9043566382200967</v>
      </c>
      <c r="D163" s="5">
        <f t="shared" si="23"/>
        <v>133.1357761310046</v>
      </c>
      <c r="E163" s="4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</row>
    <row r="164" spans="1:16">
      <c r="A164" s="5">
        <f t="shared" si="24"/>
        <v>6.7999999999999918</v>
      </c>
      <c r="B164" s="5">
        <f t="shared" si="22"/>
        <v>323.39034401574406</v>
      </c>
      <c r="C164" s="5">
        <f>(0.951*(E$26+(E$27-E$26)*A164/C$58)^0.729)*(1.009^E25)*(1.044^1)</f>
        <v>3.9056625837778758</v>
      </c>
      <c r="D164" s="5">
        <f t="shared" si="23"/>
        <v>132.2994574572964</v>
      </c>
      <c r="E164" s="4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</row>
    <row r="165" spans="1:16">
      <c r="A165" s="5">
        <f t="shared" si="24"/>
        <v>6.8999999999999915</v>
      </c>
      <c r="B165" s="5">
        <f t="shared" si="22"/>
        <v>318.16027772941874</v>
      </c>
      <c r="C165" s="5">
        <f>(0.951*(E$26+(E$27-E$26)*A165/C$58)^0.729)*(1.009^E25)*(1.044^1)</f>
        <v>3.9069683670264235</v>
      </c>
      <c r="D165" s="5">
        <f t="shared" si="23"/>
        <v>131.44210210161231</v>
      </c>
      <c r="E165" s="4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</row>
    <row r="166" spans="1:16">
      <c r="A166" s="5">
        <f t="shared" si="24"/>
        <v>6.9999999999999911</v>
      </c>
      <c r="B166" s="5">
        <f t="shared" si="22"/>
        <v>313.01479527147774</v>
      </c>
      <c r="C166" s="5">
        <f>(0.951*(E$26+(E$27-E$26)*A166/C$58)^0.729)*(1.009^E25)*(1.044^1)</f>
        <v>3.9082739880603077</v>
      </c>
      <c r="D166" s="5">
        <f t="shared" si="23"/>
        <v>130.56499314837689</v>
      </c>
      <c r="E166" s="4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</row>
    <row r="167" spans="1:16">
      <c r="A167" s="5">
        <f t="shared" si="24"/>
        <v>7.0999999999999908</v>
      </c>
      <c r="B167" s="5">
        <f t="shared" si="22"/>
        <v>307.95252870055424</v>
      </c>
      <c r="C167" s="5">
        <f>(0.951*(E$26+(E$27-E$26)*A167/C$58)^0.729)*(1.009^E25)*(1.044^1)</f>
        <v>3.9095794469739964</v>
      </c>
      <c r="D167" s="5">
        <f t="shared" si="23"/>
        <v>129.66936638446572</v>
      </c>
      <c r="E167" s="4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</row>
    <row r="168" spans="1:16">
      <c r="A168" s="5">
        <f t="shared" si="24"/>
        <v>7.1999999999999904</v>
      </c>
      <c r="B168" s="5">
        <f t="shared" si="22"/>
        <v>302.97213219846526</v>
      </c>
      <c r="C168" s="5">
        <f>(0.951*(E$26+(E$27-E$26)*A168/C$58)^0.729)*(1.009^E25)*(1.044^1)</f>
        <v>3.9108847438618581</v>
      </c>
      <c r="D168" s="5">
        <f t="shared" si="23"/>
        <v>128.75641183181875</v>
      </c>
      <c r="E168" s="4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</row>
    <row r="169" spans="1:16">
      <c r="A169" s="5">
        <f t="shared" si="24"/>
        <v>7.2999999999999901</v>
      </c>
      <c r="B169" s="5">
        <f t="shared" si="22"/>
        <v>298.0722817124219</v>
      </c>
      <c r="C169" s="5">
        <f>(0.951*(E$26+(E$27-E$26)*A169/C$58)^0.729)*(1.009^E25)*(1.044^1)</f>
        <v>3.9121898788181677</v>
      </c>
      <c r="D169" s="5">
        <f t="shared" si="23"/>
        <v>127.82727523253702</v>
      </c>
      <c r="E169" s="4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</row>
    <row r="170" spans="1:16">
      <c r="A170" s="5">
        <f t="shared" si="24"/>
        <v>7.3999999999999897</v>
      </c>
      <c r="B170" s="5">
        <f t="shared" si="22"/>
        <v>293.25167460302629</v>
      </c>
      <c r="C170" s="5">
        <f>(0.951*(E$26+(E$27-E$26)*A170/C$58)^0.729)*(1.009^E25)*(1.044^1)</f>
        <v>3.913494851937096</v>
      </c>
      <c r="D170" s="5">
        <f t="shared" si="23"/>
        <v>126.88305948791938</v>
      </c>
      <c r="E170" s="4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</row>
    <row r="171" spans="1:16">
      <c r="A171" s="5">
        <f t="shared" si="24"/>
        <v>7.4999999999999893</v>
      </c>
      <c r="B171" s="5">
        <f t="shared" si="22"/>
        <v>288.50902929796104</v>
      </c>
      <c r="C171" s="5">
        <f>(0.951*(E$26+(E$27-E$26)*A171/C$58)^0.729)*(1.009^E25)*(1.044^1)</f>
        <v>3.9147996633127216</v>
      </c>
      <c r="D171" s="5">
        <f t="shared" si="23"/>
        <v>125.92482605284954</v>
      </c>
      <c r="E171" s="4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</row>
    <row r="172" spans="1:16">
      <c r="A172" s="5">
        <f t="shared" si="24"/>
        <v>7.599999999999989</v>
      </c>
      <c r="B172" s="5">
        <f t="shared" si="22"/>
        <v>283.84308495127942</v>
      </c>
      <c r="C172" s="5">
        <f>(0.951*(E$26+(E$27-E$26)*A172/C$58)^0.729)*(1.009^E25)*(1.044^1)</f>
        <v>3.916104313039023</v>
      </c>
      <c r="D172" s="5">
        <f t="shared" si="23"/>
        <v>124.95359628690197</v>
      </c>
      <c r="E172" s="4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</row>
    <row r="173" spans="1:16">
      <c r="A173" s="5">
        <f t="shared" si="24"/>
        <v>7.6999999999999886</v>
      </c>
      <c r="B173" s="5">
        <f t="shared" si="22"/>
        <v>279.25260110820602</v>
      </c>
      <c r="C173" s="5">
        <f>(0.951*(E$26+(E$27-E$26)*A173/C$58)^0.729)*(1.009^E25)*(1.044^1)</f>
        <v>3.9174088012098793</v>
      </c>
      <c r="D173" s="5">
        <f t="shared" si="23"/>
        <v>123.97035276349314</v>
      </c>
      <c r="E173" s="4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</row>
    <row r="174" spans="1:16">
      <c r="A174" s="5">
        <f t="shared" si="24"/>
        <v>7.7999999999999883</v>
      </c>
      <c r="B174" s="5">
        <f t="shared" si="22"/>
        <v>274.73635737535795</v>
      </c>
      <c r="C174" s="5">
        <f>(0.951*(E$26+(E$27-E$26)*A174/C$58)^0.729)*(1.009^E25)*(1.044^1)</f>
        <v>3.9187131279190761</v>
      </c>
      <c r="D174" s="5">
        <f t="shared" si="23"/>
        <v>122.97604053836197</v>
      </c>
      <c r="E174" s="4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</row>
    <row r="175" spans="1:16">
      <c r="A175" s="5">
        <f t="shared" si="24"/>
        <v>7.8999999999999879</v>
      </c>
      <c r="B175" s="5">
        <f t="shared" si="22"/>
        <v>270.29315309630039</v>
      </c>
      <c r="C175" s="5">
        <f>(0.951*(E$26+(E$27-E$26)*A175/C$58)^0.729)*(1.009^E25)*(1.044^1)</f>
        <v>3.9200172932602992</v>
      </c>
      <c r="D175" s="5">
        <f t="shared" si="23"/>
        <v>121.97156837862723</v>
      </c>
      <c r="E175" s="4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</row>
    <row r="176" spans="1:16">
      <c r="A176" s="5">
        <f t="shared" si="24"/>
        <v>7.9999999999999876</v>
      </c>
      <c r="B176" s="5">
        <f t="shared" si="22"/>
        <v>265.92180703234771</v>
      </c>
      <c r="C176" s="5">
        <f>(0.951*(E$26+(E$27-E$26)*A176/C$58)^0.729)*(1.009^E25)*(1.044^1)</f>
        <v>3.9213212973271383</v>
      </c>
      <c r="D176" s="5">
        <f t="shared" si="23"/>
        <v>120.95780995362668</v>
      </c>
      <c r="E176" s="4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</row>
    <row r="177" spans="1:16">
      <c r="A177" s="5">
        <f t="shared" si="24"/>
        <v>8.0999999999999872</v>
      </c>
      <c r="B177" s="5">
        <f t="shared" si="22"/>
        <v>261.62115704852863</v>
      </c>
      <c r="C177" s="5">
        <f>(0.951*(E$26+(E$27-E$26)*A177/C$58)^0.729)*(1.009^E25)*(1.044^1)</f>
        <v>3.9226251402130852</v>
      </c>
      <c r="D177" s="5">
        <f t="shared" si="23"/>
        <v>119.93560498871148</v>
      </c>
      <c r="E177" s="4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</row>
    <row r="178" spans="1:16">
      <c r="A178" s="5">
        <f t="shared" si="24"/>
        <v>8.1999999999999869</v>
      </c>
      <c r="B178" s="5">
        <f t="shared" si="22"/>
        <v>257.39005980462855</v>
      </c>
      <c r="C178" s="5">
        <f>(0.951*(E$26+(E$27-E$26)*A178/C$58)^0.729)*(1.009^E25)*(1.044^1)</f>
        <v>3.9239288220115345</v>
      </c>
      <c r="D178" s="5">
        <f t="shared" si="23"/>
        <v>118.90576038312763</v>
      </c>
      <c r="E178" s="4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</row>
    <row r="179" spans="1:16">
      <c r="A179" s="5">
        <f t="shared" si="24"/>
        <v>8.2999999999999865</v>
      </c>
      <c r="B179" s="5">
        <f t="shared" si="22"/>
        <v>253.22739045122978</v>
      </c>
      <c r="C179" s="5">
        <f>(0.951*(E$26+(E$27-E$26)*A179/C$58)^0.729)*(1.009^E25)*(1.044^1)</f>
        <v>3.9252323428157871</v>
      </c>
      <c r="D179" s="5">
        <f t="shared" si="23"/>
        <v>117.86905129308619</v>
      </c>
      <c r="E179" s="4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</row>
    <row r="180" spans="1:16">
      <c r="A180" s="5">
        <f t="shared" si="24"/>
        <v>8.3999999999999861</v>
      </c>
      <c r="B180" s="5">
        <f t="shared" si="22"/>
        <v>249.13204233066679</v>
      </c>
      <c r="C180" s="5">
        <f>(0.951*(E$26+(E$27-E$26)*A180/C$58)^0.729)*(1.009^E25)*(1.044^1)</f>
        <v>3.9265357027190442</v>
      </c>
      <c r="D180" s="5">
        <f t="shared" si="23"/>
        <v>116.82622218108725</v>
      </c>
      <c r="E180" s="4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</row>
    <row r="181" spans="1:16">
      <c r="A181" s="5">
        <f t="shared" si="24"/>
        <v>8.4999999999999858</v>
      </c>
      <c r="B181" s="5">
        <f t="shared" si="22"/>
        <v>245.10292668281818</v>
      </c>
      <c r="C181" s="5">
        <f>(0.951*(E$26+(E$27-E$26)*A181/C$58)^0.729)*(1.009^E25)*(1.044^1)</f>
        <v>3.9278389018144133</v>
      </c>
      <c r="D181" s="5">
        <f t="shared" si="23"/>
        <v>115.77798783253117</v>
      </c>
      <c r="E181" s="4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</row>
    <row r="182" spans="1:16">
      <c r="A182" s="5">
        <f t="shared" si="24"/>
        <v>8.5999999999999854</v>
      </c>
      <c r="B182" s="5">
        <f t="shared" si="22"/>
        <v>241.13897235565665</v>
      </c>
      <c r="C182" s="5">
        <f>(0.951*(E$26+(E$27-E$26)*A182/C$58)^0.729)*(1.009^E25)*(1.044^1)</f>
        <v>3.9291419401949019</v>
      </c>
      <c r="D182" s="5">
        <f t="shared" si="23"/>
        <v>114.72503434061896</v>
      </c>
      <c r="E182" s="4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</row>
    <row r="183" spans="1:16">
      <c r="A183" s="5">
        <f t="shared" si="24"/>
        <v>8.6999999999999851</v>
      </c>
      <c r="B183" s="5">
        <f t="shared" si="22"/>
        <v>237.23912552048014</v>
      </c>
      <c r="C183" s="5">
        <f>(0.951*(E$26+(E$27-E$26)*A183/C$58)^0.729)*(1.009^E25)*(1.044^1)</f>
        <v>3.9304448179534259</v>
      </c>
      <c r="D183" s="5">
        <f t="shared" si="23"/>
        <v>113.668020060513</v>
      </c>
      <c r="E183" s="4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</row>
    <row r="184" spans="1:16">
      <c r="A184" s="5">
        <f t="shared" si="24"/>
        <v>8.7999999999999847</v>
      </c>
      <c r="B184" s="5">
        <f t="shared" si="22"/>
        <v>233.40234939174849</v>
      </c>
      <c r="C184" s="5">
        <f>(0.951*(E$26+(E$27-E$26)*A184/C$58)^0.729)*(1.009^E25)*(1.044^1)</f>
        <v>3.9317475351828017</v>
      </c>
      <c r="D184" s="5">
        <f t="shared" si="23"/>
        <v>112.60757653369838</v>
      </c>
      <c r="E184" s="4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</row>
    <row r="185" spans="1:16">
      <c r="A185" s="5">
        <f t="shared" si="24"/>
        <v>8.8999999999999844</v>
      </c>
      <c r="B185" s="5">
        <f t="shared" si="22"/>
        <v>229.62762395145066</v>
      </c>
      <c r="C185" s="5">
        <f>(0.951*(E$26+(E$27-E$26)*A185/C$58)^0.729)*(1.009^E25)*(1.044^1)</f>
        <v>3.9330500919757521</v>
      </c>
      <c r="D185" s="5">
        <f t="shared" si="23"/>
        <v>111.54430938345864</v>
      </c>
      <c r="E185" s="4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</row>
    <row r="186" spans="1:16">
      <c r="A186" s="5">
        <f t="shared" si="24"/>
        <v>8.999999999999984</v>
      </c>
      <c r="B186" s="5">
        <f t="shared" si="22"/>
        <v>225.91394567793054</v>
      </c>
      <c r="C186" s="5">
        <f>(0.951*(E$26+(E$27-E$26)*A186/C$58)^0.729)*(1.009^E25)*(1.044^1)</f>
        <v>3.9343524884249041</v>
      </c>
      <c r="D186" s="5">
        <f t="shared" si="23"/>
        <v>110.47879918234983</v>
      </c>
      <c r="E186" s="4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</row>
    <row r="187" spans="1:16">
      <c r="A187" s="5">
        <f t="shared" si="24"/>
        <v>9.0999999999999837</v>
      </c>
      <c r="B187" s="5">
        <f t="shared" si="22"/>
        <v>222.26032727909757</v>
      </c>
      <c r="C187" s="5">
        <f>(0.951*(E$26+(E$27-E$26)*A187/C$58)^0.729)*(1.009^E25)*(1.044^1)</f>
        <v>3.9356547246227871</v>
      </c>
      <c r="D187" s="5">
        <f t="shared" si="23"/>
        <v>109.41160229252969</v>
      </c>
      <c r="E187" s="4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</row>
    <row r="188" spans="1:16">
      <c r="A188" s="5">
        <f t="shared" si="24"/>
        <v>9.1999999999999833</v>
      </c>
      <c r="B188" s="5">
        <f t="shared" si="22"/>
        <v>218.66579742995205</v>
      </c>
      <c r="C188" s="5">
        <f>(0.951*(E$26+(E$27-E$26)*A188/C$58)^0.729)*(1.009^E25)*(1.044^1)</f>
        <v>3.9369568006618381</v>
      </c>
      <c r="D188" s="5">
        <f t="shared" si="23"/>
        <v>108.34325167977462</v>
      </c>
      <c r="E188" s="4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</row>
    <row r="189" spans="1:16">
      <c r="A189" s="5">
        <f t="shared" si="24"/>
        <v>9.2999999999999829</v>
      </c>
      <c r="B189" s="5">
        <f t="shared" si="22"/>
        <v>215.12940051435604</v>
      </c>
      <c r="C189" s="5">
        <f>(0.951*(E$26+(E$27-E$26)*A189/C$58)^0.729)*(1.009^E25)*(1.044^1)</f>
        <v>3.9382587166343965</v>
      </c>
      <c r="D189" s="5">
        <f t="shared" si="23"/>
        <v>107.2742577019889</v>
      </c>
      <c r="E189" s="4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</row>
    <row r="190" spans="1:16">
      <c r="A190" s="5">
        <f t="shared" si="24"/>
        <v>9.3999999999999826</v>
      </c>
      <c r="B190" s="5">
        <f t="shared" si="22"/>
        <v>211.65019637097964</v>
      </c>
      <c r="C190" s="5">
        <f>(0.951*(E$26+(E$27-E$26)*A190/C$58)^0.729)*(1.009^E25)*(1.044^1)</f>
        <v>3.9395604726327074</v>
      </c>
      <c r="D190" s="5">
        <f t="shared" si="23"/>
        <v>106.20510887298802</v>
      </c>
      <c r="E190" s="4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</row>
    <row r="191" spans="1:16">
      <c r="A191" s="5">
        <f t="shared" si="24"/>
        <v>9.4999999999999822</v>
      </c>
      <c r="B191" s="5">
        <f t="shared" si="22"/>
        <v>208.22726004335667</v>
      </c>
      <c r="C191" s="5">
        <f>(0.951*(E$26+(E$27-E$26)*A191/C$58)^0.729)*(1.009^E25)*(1.044^1)</f>
        <v>3.9408620687489213</v>
      </c>
      <c r="D191" s="5">
        <f t="shared" si="23"/>
        <v>105.13627260231365</v>
      </c>
      <c r="E191" s="4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</row>
    <row r="192" spans="1:16">
      <c r="A192" s="5">
        <f t="shared" si="24"/>
        <v>9.5999999999999819</v>
      </c>
      <c r="B192" s="5">
        <f t="shared" si="22"/>
        <v>204.85968153398218</v>
      </c>
      <c r="C192" s="5">
        <f>(0.951*(E$26+(E$27-E$26)*A192/C$58)^0.729)*(1.009^E25)*(1.044^1)</f>
        <v>3.9421635050750945</v>
      </c>
      <c r="D192" s="5">
        <f t="shared" si="23"/>
        <v>104.06819591181373</v>
      </c>
      <c r="E192" s="4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</row>
    <row r="193" spans="1:16">
      <c r="A193" s="5">
        <f t="shared" ref="A193:A224" si="25">A192+0.1</f>
        <v>9.6999999999999815</v>
      </c>
      <c r="B193" s="5">
        <f t="shared" si="22"/>
        <v>201.54656556238703</v>
      </c>
      <c r="C193" s="5">
        <f>(0.951*(E$26+(E$27-E$26)*A193/C$58)^0.729)*(1.009^E25)*(1.044^1)</f>
        <v>3.9434647817031863</v>
      </c>
      <c r="D193" s="5">
        <f t="shared" si="23"/>
        <v>103.0013061296998</v>
      </c>
      <c r="E193" s="4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</row>
    <row r="194" spans="1:16">
      <c r="A194" s="5">
        <f t="shared" si="25"/>
        <v>9.7999999999999812</v>
      </c>
      <c r="B194" s="5">
        <f t="shared" si="22"/>
        <v>198.28703132712499</v>
      </c>
      <c r="C194" s="5">
        <f>(0.951*(E$26+(E$27-E$26)*A194/C$58)^0.729)*(1.009^E25)*(1.044^1)</f>
        <v>3.9447658987250636</v>
      </c>
      <c r="D194" s="5">
        <f t="shared" si="23"/>
        <v>101.93601156277168</v>
      </c>
      <c r="E194" s="4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</row>
    <row r="195" spans="1:16">
      <c r="A195" s="5">
        <f t="shared" si="25"/>
        <v>9.8999999999999808</v>
      </c>
      <c r="B195" s="5">
        <f t="shared" si="22"/>
        <v>195.08021227160916</v>
      </c>
      <c r="C195" s="5">
        <f>(0.951*(E$26+(E$27-E$26)*A195/C$58)^0.729)*(1.009^E25)*(1.044^1)</f>
        <v>3.9460668562324988</v>
      </c>
      <c r="D195" s="5">
        <f t="shared" si="23"/>
        <v>100.87270214747845</v>
      </c>
      <c r="E195" s="4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</row>
    <row r="196" spans="1:16">
      <c r="A196" s="5">
        <f t="shared" si="25"/>
        <v>9.9999999999999805</v>
      </c>
      <c r="B196" s="5">
        <f t="shared" si="22"/>
        <v>191.92525585373528</v>
      </c>
      <c r="C196" s="5">
        <f>(0.951*(E$26+(E$27-E$26)*A196/C$58)^0.729)*(1.009^E25)*(1.044^1)</f>
        <v>3.9473676543171687</v>
      </c>
      <c r="D196" s="5">
        <f t="shared" si="23"/>
        <v>99.81175008046354</v>
      </c>
      <c r="E196" s="4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</row>
    <row r="197" spans="1:16">
      <c r="A197" s="5">
        <f t="shared" si="25"/>
        <v>10.09999999999998</v>
      </c>
      <c r="B197" s="5">
        <f t="shared" si="22"/>
        <v>188.82132331923108</v>
      </c>
      <c r="C197" s="5">
        <f>(0.951*(E$26+(E$27-E$26)*A197/C$58)^0.729)*(1.009^E25)*(1.044^1)</f>
        <v>3.948668293070658</v>
      </c>
      <c r="D197" s="5">
        <f t="shared" si="23"/>
        <v>98.753510429224036</v>
      </c>
      <c r="E197" s="4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</row>
    <row r="198" spans="1:16">
      <c r="A198" s="5">
        <f t="shared" si="25"/>
        <v>10.19999999999998</v>
      </c>
      <c r="B198" s="5">
        <f t="shared" si="22"/>
        <v>185.76758947867103</v>
      </c>
      <c r="C198" s="5">
        <f>(0.951*(E$26+(E$27-E$26)*A198/C$58)^0.729)*(1.009^E25)*(1.044^1)</f>
        <v>3.9499687725844561</v>
      </c>
      <c r="D198" s="5">
        <f t="shared" si="23"/>
        <v>97.698321723492299</v>
      </c>
      <c r="E198" s="4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</row>
    <row r="199" spans="1:16">
      <c r="A199" s="5">
        <f t="shared" si="25"/>
        <v>10.299999999999979</v>
      </c>
      <c r="B199" s="5">
        <f t="shared" si="22"/>
        <v>182.76324248809729</v>
      </c>
      <c r="C199" s="5">
        <f>(0.951*(E$26+(E$27-E$26)*A199/C$58)^0.729)*(1.009^E25)*(1.044^1)</f>
        <v>3.9512690929499561</v>
      </c>
      <c r="D199" s="5">
        <f t="shared" si="23"/>
        <v>96.646506527931749</v>
      </c>
      <c r="E199" s="4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</row>
    <row r="200" spans="1:16">
      <c r="A200" s="5">
        <f t="shared" si="25"/>
        <v>10.399999999999979</v>
      </c>
      <c r="B200" s="5">
        <f t="shared" si="22"/>
        <v>179.8074836331887</v>
      </c>
      <c r="C200" s="5">
        <f>(0.951*(E$26+(E$27-E$26)*A200/C$58)^0.729)*(1.009^E25)*(1.044^1)</f>
        <v>3.9525692542584636</v>
      </c>
      <c r="D200" s="5">
        <f t="shared" si="23"/>
        <v>95.598371996719507</v>
      </c>
      <c r="E200" s="4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</row>
    <row r="201" spans="1:16">
      <c r="A201" s="5">
        <f t="shared" si="25"/>
        <v>10.499999999999979</v>
      </c>
      <c r="B201" s="5">
        <f t="shared" si="22"/>
        <v>176.89952711692013</v>
      </c>
      <c r="C201" s="5">
        <f>(0.951*(E$26+(E$27-E$26)*A201/C$58)^0.729)*(1.009^E25)*(1.044^1)</f>
        <v>3.9538692566011866</v>
      </c>
      <c r="D201" s="5">
        <f t="shared" si="23"/>
        <v>94.554210410571216</v>
      </c>
      <c r="E201" s="4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</row>
    <row r="202" spans="1:16">
      <c r="A202" s="5">
        <f t="shared" si="25"/>
        <v>10.599999999999978</v>
      </c>
      <c r="B202" s="5">
        <f t="shared" si="22"/>
        <v>174.03859985065628</v>
      </c>
      <c r="C202" s="5">
        <f>(0.951*(E$26+(E$27-E$26)*A202/C$58)^0.729)*(1.009^E25)*(1.044^1)</f>
        <v>3.9551691000692379</v>
      </c>
      <c r="D202" s="5">
        <f t="shared" si="23"/>
        <v>93.51429969674669</v>
      </c>
      <c r="E202" s="4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</row>
    <row r="203" spans="1:16">
      <c r="A203" s="5">
        <f t="shared" si="25"/>
        <v>10.699999999999978</v>
      </c>
      <c r="B203" s="5">
        <f t="shared" si="22"/>
        <v>171.22394124862376</v>
      </c>
      <c r="C203" s="5">
        <f>(0.951*(E$26+(E$27-E$26)*A203/C$58)^0.729)*(1.009^E25)*(1.044^1)</f>
        <v>3.9564687847536408</v>
      </c>
      <c r="D203" s="5">
        <f t="shared" si="23"/>
        <v>92.478903932558708</v>
      </c>
      <c r="E203" s="4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</row>
    <row r="204" spans="1:16">
      <c r="A204" s="5">
        <f t="shared" si="25"/>
        <v>10.799999999999978</v>
      </c>
      <c r="B204" s="5">
        <f t="shared" si="22"/>
        <v>168.45480302570709</v>
      </c>
      <c r="C204" s="5">
        <f>(0.951*(E$26+(E$27-E$26)*A204/C$58)^0.729)*(1.009^E25)*(1.044^1)</f>
        <v>3.9577683107453261</v>
      </c>
      <c r="D204" s="5">
        <f t="shared" si="23"/>
        <v>91.448273832890607</v>
      </c>
      <c r="E204" s="4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</row>
    <row r="205" spans="1:16">
      <c r="A205" s="5">
        <f t="shared" si="25"/>
        <v>10.899999999999977</v>
      </c>
      <c r="B205" s="5">
        <f t="shared" si="22"/>
        <v>165.7304489985151</v>
      </c>
      <c r="C205" s="5">
        <f>(0.951*(E$26+(E$27-E$26)*A205/C$58)^0.729)*(1.009^E25)*(1.044^1)</f>
        <v>3.9590676781351251</v>
      </c>
      <c r="D205" s="5">
        <f t="shared" si="23"/>
        <v>90.422647222213968</v>
      </c>
      <c r="E205" s="4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</row>
    <row r="206" spans="1:16">
      <c r="A206" s="5">
        <f t="shared" si="25"/>
        <v>10.999999999999977</v>
      </c>
      <c r="B206" s="5">
        <f t="shared" si="22"/>
        <v>163.05015488966413</v>
      </c>
      <c r="C206" s="5">
        <f>(0.951*(E$26+(E$27-E$26)*A206/C$58)^0.729)*(1.009^E25)*(1.044^1)</f>
        <v>3.9603668870137843</v>
      </c>
      <c r="D206" s="5">
        <f t="shared" si="23"/>
        <v>89.402249491582012</v>
      </c>
      <c r="E206" s="4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</row>
    <row r="207" spans="1:16">
      <c r="A207" s="5">
        <f t="shared" si="25"/>
        <v>11.099999999999977</v>
      </c>
      <c r="B207" s="5">
        <f t="shared" si="22"/>
        <v>160.41320813522725</v>
      </c>
      <c r="C207" s="5">
        <f>(0.951*(E$26+(E$27-E$26)*A207/C$58)^0.729)*(1.009^E25)*(1.044^1)</f>
        <v>3.9616659374719521</v>
      </c>
      <c r="D207" s="5">
        <f t="shared" si="23"/>
        <v>88.38729404106013</v>
      </c>
      <c r="E207" s="4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</row>
    <row r="208" spans="1:16">
      <c r="A208" s="5">
        <f t="shared" si="25"/>
        <v>11.199999999999976</v>
      </c>
      <c r="B208" s="5">
        <f t="shared" si="22"/>
        <v>157.81890769529673</v>
      </c>
      <c r="C208" s="5">
        <f>(0.951*(E$26+(E$27-E$26)*A208/C$58)^0.729)*(1.009^E25)*(1.044^1)</f>
        <v>3.9629648296001871</v>
      </c>
      <c r="D208" s="5">
        <f t="shared" si="23"/>
        <v>87.377982708040619</v>
      </c>
      <c r="E208" s="4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</row>
    <row r="209" spans="1:16">
      <c r="A209" s="5">
        <f t="shared" si="25"/>
        <v>11.299999999999976</v>
      </c>
      <c r="B209" s="5">
        <f t="shared" si="22"/>
        <v>155.2665638676107</v>
      </c>
      <c r="C209" s="5">
        <f>(0.951*(E$26+(E$27-E$26)*A209/C$58)^0.729)*(1.009^E25)*(1.044^1)</f>
        <v>3.9642635634889527</v>
      </c>
      <c r="D209" s="5">
        <f t="shared" si="23"/>
        <v>86.37450618187556</v>
      </c>
      <c r="E209" s="4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</row>
    <row r="210" spans="1:16">
      <c r="A210" s="5">
        <f t="shared" si="25"/>
        <v>11.399999999999975</v>
      </c>
      <c r="B210" s="5">
        <f t="shared" si="22"/>
        <v>152.75549810419375</v>
      </c>
      <c r="C210" s="5">
        <f>(0.951*(E$26+(E$27-E$26)*A210/C$58)^0.729)*(1.009^E25)*(1.044^1)</f>
        <v>3.9655621392286244</v>
      </c>
      <c r="D210" s="5">
        <f t="shared" si="23"/>
        <v>85.3770444052481</v>
      </c>
      <c r="E210" s="4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</row>
    <row r="211" spans="1:16">
      <c r="A211" s="5">
        <f t="shared" si="25"/>
        <v>11.499999999999975</v>
      </c>
      <c r="B211" s="5">
        <f t="shared" si="22"/>
        <v>150.28504283096314</v>
      </c>
      <c r="C211" s="5">
        <f>(0.951*(E$26+(E$27-E$26)*A211/C$58)^0.729)*(1.009^E25)*(1.044^1)</f>
        <v>3.966860556909479</v>
      </c>
      <c r="D211" s="5">
        <f t="shared" si="23"/>
        <v>84.385766962689956</v>
      </c>
      <c r="E211" s="4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</row>
    <row r="212" spans="1:16">
      <c r="A212" s="5">
        <f t="shared" si="25"/>
        <v>11.599999999999975</v>
      </c>
      <c r="B212" s="5">
        <f t="shared" si="22"/>
        <v>147.85454127025204</v>
      </c>
      <c r="C212" s="5">
        <f>(0.951*(E$26+(E$27-E$26)*A212/C$58)^0.729)*(1.009^E25)*(1.044^1)</f>
        <v>3.9681588166217088</v>
      </c>
      <c r="D212" s="5">
        <f t="shared" si="23"/>
        <v>83.400833456640228</v>
      </c>
      <c r="E212" s="4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</row>
    <row r="213" spans="1:16">
      <c r="A213" s="5">
        <f t="shared" si="25"/>
        <v>11.699999999999974</v>
      </c>
      <c r="B213" s="5">
        <f t="shared" si="22"/>
        <v>145.46334726620353</v>
      </c>
      <c r="C213" s="5">
        <f>(0.951*(E$26+(E$27-E$26)*A213/C$58)^0.729)*(1.009^E25)*(1.044^1)</f>
        <v>3.9694569184554083</v>
      </c>
      <c r="D213" s="5">
        <f t="shared" si="23"/>
        <v>82.422393871428909</v>
      </c>
      <c r="E213" s="4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</row>
    <row r="214" spans="1:16">
      <c r="A214" s="5">
        <f t="shared" si="25"/>
        <v>11.799999999999974</v>
      </c>
      <c r="B214" s="5">
        <f t="shared" si="22"/>
        <v>143.1108251129881</v>
      </c>
      <c r="C214" s="5">
        <f>(0.951*(E$26+(E$27-E$26)*A214/C$58)^0.729)*(1.009^E25)*(1.044^1)</f>
        <v>3.9707548625005837</v>
      </c>
      <c r="D214" s="5">
        <f t="shared" si="23"/>
        <v>81.450588925556758</v>
      </c>
      <c r="E214" s="4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</row>
    <row r="215" spans="1:16">
      <c r="A215" s="5">
        <f t="shared" si="25"/>
        <v>11.899999999999974</v>
      </c>
      <c r="B215" s="5">
        <f t="shared" si="22"/>
        <v>140.79634938579943</v>
      </c>
      <c r="C215" s="5">
        <f>(0.951*(E$26+(E$27-E$26)*A215/C$58)^0.729)*(1.009^E25)*(1.044^1)</f>
        <v>3.9720526488471464</v>
      </c>
      <c r="D215" s="5">
        <f t="shared" si="23"/>
        <v>80.485550412631284</v>
      </c>
      <c r="E215" s="4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</row>
    <row r="216" spans="1:16">
      <c r="A216" s="5">
        <f t="shared" si="25"/>
        <v>11.999999999999973</v>
      </c>
      <c r="B216" s="5">
        <f t="shared" si="22"/>
        <v>138.51930477458347</v>
      </c>
      <c r="C216" s="5">
        <f>(0.951*(E$26+(E$27-E$26)*A216/C$58)^0.729)*(1.009^E25)*(1.044^1)</f>
        <v>3.9733502775849199</v>
      </c>
      <c r="D216" s="5">
        <f t="shared" si="23"/>
        <v>79.527401531308897</v>
      </c>
      <c r="E216" s="4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</row>
    <row r="217" spans="1:16">
      <c r="A217" s="5">
        <f t="shared" si="25"/>
        <v>12.099999999999973</v>
      </c>
      <c r="B217" s="5">
        <f t="shared" si="22"/>
        <v>136.27908592045623</v>
      </c>
      <c r="C217" s="5">
        <f>(0.951*(E$26+(E$27-E$26)*A217/C$58)^0.729)*(1.009^E25)*(1.044^1)</f>
        <v>3.9746477488036343</v>
      </c>
      <c r="D217" s="5">
        <f t="shared" si="23"/>
        <v>78.576257204581012</v>
      </c>
      <c r="E217" s="4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</row>
    <row r="218" spans="1:16">
      <c r="A218" s="5">
        <f t="shared" si="25"/>
        <v>12.199999999999973</v>
      </c>
      <c r="B218" s="5">
        <f t="shared" si="22"/>
        <v>134.07509725476774</v>
      </c>
      <c r="C218" s="5">
        <f>(0.951*(E$26+(E$27-E$26)*A218/C$58)^0.729)*(1.009^E25)*(1.044^1)</f>
        <v>3.9759450625929285</v>
      </c>
      <c r="D218" s="5">
        <f t="shared" si="23"/>
        <v>77.63222438873369</v>
      </c>
      <c r="E218" s="4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</row>
    <row r="219" spans="1:16">
      <c r="A219" s="5">
        <f t="shared" si="25"/>
        <v>12.299999999999972</v>
      </c>
      <c r="B219" s="5">
        <f t="shared" si="22"/>
        <v>131.90675284076818</v>
      </c>
      <c r="C219" s="5">
        <f>(0.951*(E$26+(E$27-E$26)*A219/C$58)^0.729)*(1.009^E25)*(1.044^1)</f>
        <v>3.9772422190423486</v>
      </c>
      <c r="D219" s="5">
        <f t="shared" si="23"/>
        <v>76.695402372297906</v>
      </c>
      <c r="E219" s="4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</row>
    <row r="220" spans="1:16">
      <c r="A220" s="5">
        <f t="shared" si="25"/>
        <v>12.399999999999972</v>
      </c>
      <c r="B220" s="5">
        <f t="shared" si="22"/>
        <v>129.77347621783491</v>
      </c>
      <c r="C220" s="5">
        <f>(0.951*(E$26+(E$27-E$26)*A220/C$58)^0.729)*(1.009^E25)*(1.044^1)</f>
        <v>3.9785392182413539</v>
      </c>
      <c r="D220" s="5">
        <f t="shared" si="23"/>
        <v>75.765883065299946</v>
      </c>
      <c r="E220" s="4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</row>
    <row r="221" spans="1:16">
      <c r="A221" s="5">
        <f t="shared" si="25"/>
        <v>12.499999999999972</v>
      </c>
      <c r="B221" s="5">
        <f t="shared" si="22"/>
        <v>127.67470024821876</v>
      </c>
      <c r="C221" s="5">
        <f>(0.951*(E$26+(E$27-E$26)*A221/C$58)^0.729)*(1.009^E25)*(1.044^1)</f>
        <v>3.9798360602793106</v>
      </c>
      <c r="D221" s="5">
        <f t="shared" si="23"/>
        <v>74.843751279111046</v>
      </c>
      <c r="E221" s="4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</row>
    <row r="222" spans="1:16">
      <c r="A222" s="5">
        <f t="shared" si="25"/>
        <v>12.599999999999971</v>
      </c>
      <c r="B222" s="5">
        <f t="shared" si="22"/>
        <v>125.60986696626902</v>
      </c>
      <c r="C222" s="5">
        <f>(0.951*(E$26+(E$27-E$26)*A222/C$58)^0.729)*(1.009^E25)*(1.044^1)</f>
        <v>3.9811327452454925</v>
      </c>
      <c r="D222" s="5">
        <f t="shared" si="23"/>
        <v>73.929084997186763</v>
      </c>
      <c r="E222" s="4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</row>
    <row r="223" spans="1:16">
      <c r="A223" s="5">
        <f t="shared" si="25"/>
        <v>12.699999999999971</v>
      </c>
      <c r="B223" s="5">
        <f t="shared" si="22"/>
        <v>123.57842743009627</v>
      </c>
      <c r="C223" s="5">
        <f>(0.951*(E$26+(E$27-E$26)*A223/C$58)^0.729)*(1.009^E25)*(1.044^1)</f>
        <v>3.9824292732290867</v>
      </c>
      <c r="D223" s="5">
        <f t="shared" si="23"/>
        <v>73.021955636976614</v>
      </c>
      <c r="E223" s="4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</row>
    <row r="224" spans="1:16">
      <c r="A224" s="5">
        <f t="shared" si="25"/>
        <v>12.799999999999971</v>
      </c>
      <c r="B224" s="5">
        <f t="shared" ref="B224:B287" si="26">F$63*EXP(-F$64*A224)</f>
        <v>121.57984157563499</v>
      </c>
      <c r="C224" s="5">
        <f>(0.951*(E$26+(E$27-E$26)*A224/C$58)^0.729)*(1.009^E25)*(1.044^1)</f>
        <v>3.9837256443191866</v>
      </c>
      <c r="D224" s="5">
        <f t="shared" ref="D224:D287" si="27">$F$63*$F$66/($F$65/C224-$F$64)/C224*(EXP(-$F$64*A224)-EXP(-$F$65/C224*A224))</f>
        <v>72.12242830327817</v>
      </c>
      <c r="E224" s="4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</row>
    <row r="225" spans="1:16">
      <c r="A225" s="5">
        <f t="shared" ref="A225:A256" si="28">A224+0.1</f>
        <v>12.89999999999997</v>
      </c>
      <c r="B225" s="5">
        <f t="shared" si="26"/>
        <v>119.6135780730657</v>
      </c>
      <c r="C225" s="5">
        <f>(0.951*(E$26+(E$27-E$26)*A225/C$58)^0.729)*(1.009^E25)*(1.044^1)</f>
        <v>3.9850218586047954</v>
      </c>
      <c r="D225" s="5">
        <f t="shared" si="27"/>
        <v>71.230562033298838</v>
      </c>
      <c r="E225" s="4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</row>
    <row r="226" spans="1:16">
      <c r="A226" s="5">
        <f t="shared" si="28"/>
        <v>12.99999999999997</v>
      </c>
      <c r="B226" s="5">
        <f t="shared" si="26"/>
        <v>117.67911418555943</v>
      </c>
      <c r="C226" s="5">
        <f>(0.951*(E$26+(E$27-E$26)*A226/C$58)^0.729)*(1.009^E25)*(1.044^1)</f>
        <v>3.9863179161748286</v>
      </c>
      <c r="D226" s="5">
        <f t="shared" si="27"/>
        <v>70.346410033682545</v>
      </c>
      <c r="E226" s="4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</row>
    <row r="227" spans="1:16">
      <c r="A227" s="5">
        <f t="shared" si="28"/>
        <v>13.099999999999969</v>
      </c>
      <c r="B227" s="5">
        <f t="shared" si="26"/>
        <v>115.77593563030689</v>
      </c>
      <c r="C227" s="5">
        <f>(0.951*(E$26+(E$27-E$26)*A227/C$58)^0.729)*(1.009^E25)*(1.044^1)</f>
        <v>3.9876138171181106</v>
      </c>
      <c r="D227" s="5">
        <f t="shared" si="27"/>
        <v>69.470019909750263</v>
      </c>
      <c r="E227" s="4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</row>
    <row r="228" spans="1:16">
      <c r="A228" s="5">
        <f t="shared" si="28"/>
        <v>13.199999999999969</v>
      </c>
      <c r="B228" s="5">
        <f t="shared" si="26"/>
        <v>113.90353644179444</v>
      </c>
      <c r="C228" s="5">
        <f>(0.951*(E$26+(E$27-E$26)*A228/C$58)^0.729)*(1.009^E25)*(1.044^1)</f>
        <v>3.9889095615233727</v>
      </c>
      <c r="D228" s="5">
        <f t="shared" si="27"/>
        <v>68.601433887194432</v>
      </c>
      <c r="E228" s="4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</row>
    <row r="229" spans="1:16">
      <c r="A229" s="5">
        <f t="shared" si="28"/>
        <v>13.299999999999969</v>
      </c>
      <c r="B229" s="5">
        <f t="shared" si="26"/>
        <v>112.06141883729219</v>
      </c>
      <c r="C229" s="5">
        <f>(0.951*(E$26+(E$27-E$26)*A229/C$58)^0.729)*(1.009^E25)*(1.044^1)</f>
        <v>3.9902051494792623</v>
      </c>
      <c r="D229" s="5">
        <f t="shared" si="27"/>
        <v>67.740689026462618</v>
      </c>
      <c r="E229" s="4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</row>
    <row r="230" spans="1:16">
      <c r="A230" s="5">
        <f t="shared" si="28"/>
        <v>13.399999999999968</v>
      </c>
      <c r="B230" s="5">
        <f t="shared" si="26"/>
        <v>110.2490930845166</v>
      </c>
      <c r="C230" s="5">
        <f>(0.951*(E$26+(E$27-E$26)*A230/C$58)^0.729)*(1.009^E25)*(1.044^1)</f>
        <v>3.9915005810743311</v>
      </c>
      <c r="D230" s="5">
        <f t="shared" si="27"/>
        <v>66.887817430055605</v>
      </c>
      <c r="E230" s="4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</row>
    <row r="231" spans="1:16">
      <c r="A231" s="5">
        <f t="shared" si="28"/>
        <v>13.499999999999968</v>
      </c>
      <c r="B231" s="5">
        <f t="shared" si="26"/>
        <v>108.46607737143395</v>
      </c>
      <c r="C231" s="5">
        <f>(0.951*(E$26+(E$27-E$26)*A231/C$58)^0.729)*(1.009^E25)*(1.044^1)</f>
        <v>3.9927958563970476</v>
      </c>
      <c r="D231" s="5">
        <f t="shared" si="27"/>
        <v>66.042846442960794</v>
      </c>
      <c r="E231" s="4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</row>
    <row r="232" spans="1:16">
      <c r="A232" s="5">
        <f t="shared" si="28"/>
        <v>13.599999999999968</v>
      </c>
      <c r="B232" s="5">
        <f t="shared" si="26"/>
        <v>106.71189767816934</v>
      </c>
      <c r="C232" s="5">
        <f>(0.951*(E$26+(E$27-E$26)*A232/C$58)^0.729)*(1.009^E25)*(1.044^1)</f>
        <v>3.9940909755357841</v>
      </c>
      <c r="D232" s="5">
        <f t="shared" si="27"/>
        <v>65.20579884643378</v>
      </c>
      <c r="E232" s="4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</row>
    <row r="233" spans="1:16">
      <c r="A233" s="5">
        <f t="shared" si="28"/>
        <v>13.699999999999967</v>
      </c>
      <c r="B233" s="5">
        <f t="shared" si="26"/>
        <v>104.98608765098678</v>
      </c>
      <c r="C233" s="5">
        <f>(0.951*(E$26+(E$27-E$26)*A233/C$58)^0.729)*(1.009^E25)*(1.044^1)</f>
        <v>3.9953859385788286</v>
      </c>
      <c r="D233" s="5">
        <f t="shared" si="27"/>
        <v>64.376693045334193</v>
      </c>
      <c r="E233" s="4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</row>
    <row r="234" spans="1:16">
      <c r="A234" s="5">
        <f t="shared" si="28"/>
        <v>13.799999999999967</v>
      </c>
      <c r="B234" s="5">
        <f t="shared" si="26"/>
        <v>103.28818847830809</v>
      </c>
      <c r="C234" s="5">
        <f>(0.951*(E$26+(E$27-E$26)*A234/C$58)^0.729)*(1.009^E25)*(1.044^1)</f>
        <v>3.9966807456143791</v>
      </c>
      <c r="D234" s="5">
        <f t="shared" si="27"/>
        <v>63.555543249217273</v>
      </c>
      <c r="E234" s="4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</row>
    <row r="235" spans="1:16">
      <c r="A235" s="5">
        <f t="shared" si="28"/>
        <v>13.899999999999967</v>
      </c>
      <c r="B235" s="5">
        <f t="shared" si="26"/>
        <v>101.61774876873623</v>
      </c>
      <c r="C235" s="5">
        <f>(0.951*(E$26+(E$27-E$26)*A235/C$58)^0.729)*(1.009^E25)*(1.044^1)</f>
        <v>3.9979753967305434</v>
      </c>
      <c r="D235" s="5">
        <f t="shared" si="27"/>
        <v>62.742359647374087</v>
      </c>
      <c r="E235" s="4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</row>
    <row r="236" spans="1:16">
      <c r="A236" s="5">
        <f t="shared" si="28"/>
        <v>13.999999999999966</v>
      </c>
      <c r="B236" s="5">
        <f t="shared" si="26"/>
        <v>99.974324431051699</v>
      </c>
      <c r="C236" s="5">
        <f>(0.951*(E$26+(E$27-E$26)*A236/C$58)^0.729)*(1.009^E25)*(1.044^1)</f>
        <v>3.9992698920153389</v>
      </c>
      <c r="D236" s="5">
        <f t="shared" si="27"/>
        <v>61.937148578010017</v>
      </c>
      <c r="E236" s="4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</row>
    <row r="237" spans="1:16">
      <c r="A237" s="5">
        <f t="shared" si="28"/>
        <v>14.099999999999966</v>
      </c>
      <c r="B237" s="5">
        <f t="shared" si="26"/>
        <v>98.357478556149744</v>
      </c>
      <c r="C237" s="5">
        <f>(0.951*(E$26+(E$27-E$26)*A237/C$58)^0.729)*(1.009^E25)*(1.044^1)</f>
        <v>4.0005642315566989</v>
      </c>
      <c r="D237" s="5">
        <f t="shared" si="27"/>
        <v>61.139912691743646</v>
      </c>
      <c r="E237" s="4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</row>
    <row r="238" spans="1:16">
      <c r="A238" s="5">
        <f t="shared" si="28"/>
        <v>14.199999999999966</v>
      </c>
      <c r="B238" s="5">
        <f t="shared" si="26"/>
        <v>96.766781300886493</v>
      </c>
      <c r="C238" s="5">
        <f>(0.951*(E$26+(E$27-E$26)*A238/C$58)^0.729)*(1.009^E25)*(1.044^1)</f>
        <v>4.0018584154424657</v>
      </c>
      <c r="D238" s="5">
        <f t="shared" si="27"/>
        <v>60.350651109602531</v>
      </c>
      <c r="E238" s="4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</row>
    <row r="239" spans="1:16">
      <c r="A239" s="5">
        <f t="shared" si="28"/>
        <v>14.299999999999965</v>
      </c>
      <c r="B239" s="5">
        <f t="shared" si="26"/>
        <v>95.201809773804257</v>
      </c>
      <c r="C239" s="5">
        <f>(0.951*(E$26+(E$27-E$26)*A239/C$58)^0.729)*(1.009^E25)*(1.044^1)</f>
        <v>4.0031524437603903</v>
      </c>
      <c r="D239" s="5">
        <f t="shared" si="27"/>
        <v>59.569359575688807</v>
      </c>
      <c r="E239" s="4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</row>
    <row r="240" spans="1:16">
      <c r="A240" s="5">
        <f t="shared" si="28"/>
        <v>14.399999999999965</v>
      </c>
      <c r="B240" s="5">
        <f t="shared" si="26"/>
        <v>93.662147922704349</v>
      </c>
      <c r="C240" s="5">
        <f>(0.951*(E$26+(E$27-E$26)*A240/C$58)^0.729)*(1.009^E25)*(1.044^1)</f>
        <v>4.0044463165981385</v>
      </c>
      <c r="D240" s="5">
        <f t="shared" si="27"/>
        <v>58.796030604679935</v>
      </c>
      <c r="E240" s="4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</row>
    <row r="241" spans="1:16">
      <c r="A241" s="5">
        <f t="shared" si="28"/>
        <v>14.499999999999964</v>
      </c>
      <c r="B241" s="5">
        <f t="shared" si="26"/>
        <v>92.147386424038487</v>
      </c>
      <c r="C241" s="5">
        <f>(0.951*(E$26+(E$27-E$26)*A241/C$58)^0.729)*(1.009^E25)*(1.044^1)</f>
        <v>4.0057400340432903</v>
      </c>
      <c r="D241" s="5">
        <f t="shared" si="27"/>
        <v>58.030653624326717</v>
      </c>
      <c r="E241" s="4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</row>
    <row r="242" spans="1:16">
      <c r="A242" s="5">
        <f t="shared" si="28"/>
        <v>14.599999999999964</v>
      </c>
      <c r="B242" s="5">
        <f t="shared" si="26"/>
        <v>90.657122574089158</v>
      </c>
      <c r="C242" s="5">
        <f>(0.951*(E$26+(E$27-E$26)*A242/C$58)^0.729)*(1.009^E25)*(1.044^1)</f>
        <v>4.0070335961833319</v>
      </c>
      <c r="D242" s="5">
        <f t="shared" si="27"/>
        <v>57.273215113104925</v>
      </c>
      <c r="E242" s="4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</row>
    <row r="243" spans="1:16">
      <c r="A243" s="5">
        <f t="shared" si="28"/>
        <v>14.699999999999964</v>
      </c>
      <c r="B243" s="5">
        <f t="shared" si="26"/>
        <v>89.190960181909261</v>
      </c>
      <c r="C243" s="5">
        <f>(0.951*(E$26+(E$27-E$26)*A243/C$58)^0.729)*(1.009^E25)*(1.044^1)</f>
        <v>4.0083270031056637</v>
      </c>
      <c r="D243" s="5">
        <f t="shared" si="27"/>
        <v>56.523698733171834</v>
      </c>
      <c r="E243" s="4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</row>
    <row r="244" spans="1:16">
      <c r="A244" s="5">
        <f t="shared" si="28"/>
        <v>14.799999999999963</v>
      </c>
      <c r="B244" s="5">
        <f t="shared" si="26"/>
        <v>87.748509463993983</v>
      </c>
      <c r="C244" s="5">
        <f>(0.951*(E$26+(E$27-E$26)*A244/C$58)^0.729)*(1.009^E25)*(1.044^1)</f>
        <v>4.0096202548976008</v>
      </c>
      <c r="D244" s="5">
        <f t="shared" si="27"/>
        <v>55.782085458775676</v>
      </c>
      <c r="E244" s="4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</row>
    <row r="245" spans="1:16">
      <c r="A245" s="5">
        <f t="shared" si="28"/>
        <v>14.899999999999963</v>
      </c>
      <c r="B245" s="5">
        <f t="shared" si="26"/>
        <v>86.329386940655468</v>
      </c>
      <c r="C245" s="5">
        <f>(0.951*(E$26+(E$27-E$26)*A245/C$58)^0.729)*(1.009^E25)*(1.044^1)</f>
        <v>4.0109133516463675</v>
      </c>
      <c r="D245" s="5">
        <f t="shared" si="27"/>
        <v>55.04835370025954</v>
      </c>
      <c r="E245" s="4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</row>
    <row r="246" spans="1:16">
      <c r="A246" s="5">
        <f t="shared" si="28"/>
        <v>14.999999999999963</v>
      </c>
      <c r="B246" s="5">
        <f t="shared" si="26"/>
        <v>84.93321533407385</v>
      </c>
      <c r="C246" s="5">
        <f>(0.951*(E$26+(E$27-E$26)*A246/C$58)^0.729)*(1.009^E25)*(1.044^1)</f>
        <v>4.0122062934391014</v>
      </c>
      <c r="D246" s="5">
        <f t="shared" si="27"/>
        <v>54.32247942379923</v>
      </c>
      <c r="E246" s="4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</row>
    <row r="247" spans="1:16">
      <c r="A247" s="5">
        <f t="shared" si="28"/>
        <v>15.099999999999962</v>
      </c>
      <c r="B247" s="5">
        <f t="shared" si="26"/>
        <v>83.55962346799663</v>
      </c>
      <c r="C247" s="5">
        <f>(0.951*(E$26+(E$27-E$26)*A247/C$58)^0.729)*(1.009^E25)*(1.044^1)</f>
        <v>4.0134990803628536</v>
      </c>
      <c r="D247" s="5">
        <f t="shared" si="27"/>
        <v>53.604436267007912</v>
      </c>
      <c r="E247" s="4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</row>
    <row r="248" spans="1:16">
      <c r="A248" s="5">
        <f t="shared" si="28"/>
        <v>15.199999999999962</v>
      </c>
      <c r="B248" s="5">
        <f t="shared" si="26"/>
        <v>82.208246169060544</v>
      </c>
      <c r="C248" s="5">
        <f>(0.951*(E$26+(E$27-E$26)*A248/C$58)^0.729)*(1.009^E25)*(1.044^1)</f>
        <v>4.0147917125045858</v>
      </c>
      <c r="D248" s="5">
        <f t="shared" si="27"/>
        <v>52.894195650538649</v>
      </c>
      <c r="E248" s="4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</row>
    <row r="249" spans="1:16">
      <c r="A249" s="5">
        <f t="shared" si="28"/>
        <v>15.299999999999962</v>
      </c>
      <c r="B249" s="5">
        <f t="shared" si="26"/>
        <v>80.878724169709216</v>
      </c>
      <c r="C249" s="5">
        <f>(0.951*(E$26+(E$27-E$26)*A249/C$58)^0.729)*(1.009^E25)*(1.044^1)</f>
        <v>4.0160841899511741</v>
      </c>
      <c r="D249" s="5">
        <f t="shared" si="27"/>
        <v>52.191726885810262</v>
      </c>
      <c r="E249" s="4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</row>
    <row r="250" spans="1:16">
      <c r="A250" s="5">
        <f t="shared" si="28"/>
        <v>15.399999999999961</v>
      </c>
      <c r="B250" s="5">
        <f t="shared" si="26"/>
        <v>79.570704012680636</v>
      </c>
      <c r="C250" s="5">
        <f>(0.951*(E$26+(E$27-E$26)*A250/C$58)^0.729)*(1.009^E25)*(1.044^1)</f>
        <v>4.0173765127894079</v>
      </c>
      <c r="D250" s="5">
        <f t="shared" si="27"/>
        <v>51.496997278978704</v>
      </c>
      <c r="E250" s="4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</row>
    <row r="251" spans="1:16">
      <c r="A251" s="5">
        <f t="shared" si="28"/>
        <v>15.499999999999961</v>
      </c>
      <c r="B251" s="5">
        <f t="shared" si="26"/>
        <v>78.283837957039765</v>
      </c>
      <c r="C251" s="5">
        <f>(0.951*(E$26+(E$27-E$26)*A251/C$58)^0.729)*(1.009^E25)*(1.044^1)</f>
        <v>4.0186686811059893</v>
      </c>
      <c r="D251" s="5">
        <f t="shared" si="27"/>
        <v>50.809972231272816</v>
      </c>
      <c r="E251" s="4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</row>
    <row r="252" spans="1:16">
      <c r="A252" s="5">
        <f t="shared" si="28"/>
        <v>15.599999999999961</v>
      </c>
      <c r="B252" s="5">
        <f t="shared" si="26"/>
        <v>77.017783885730438</v>
      </c>
      <c r="C252" s="5">
        <f>(0.951*(E$26+(E$27-E$26)*A252/C$58)^0.729)*(1.009^E25)*(1.044^1)</f>
        <v>4.0199606949875326</v>
      </c>
      <c r="D252" s="5">
        <f t="shared" si="27"/>
        <v>50.130615335808841</v>
      </c>
      <c r="E252" s="4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</row>
    <row r="253" spans="1:16">
      <c r="A253" s="5">
        <f t="shared" si="28"/>
        <v>15.69999999999996</v>
      </c>
      <c r="B253" s="5">
        <f t="shared" si="26"/>
        <v>75.772205214622559</v>
      </c>
      <c r="C253" s="5">
        <f>(0.951*(E$26+(E$27-E$26)*A253/C$58)^0.729)*(1.009^E25)*(1.044^1)</f>
        <v>4.0212525545205633</v>
      </c>
      <c r="D253" s="5">
        <f t="shared" si="27"/>
        <v>49.458888470995525</v>
      </c>
      <c r="E253" s="4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</row>
    <row r="254" spans="1:16">
      <c r="A254" s="5">
        <f t="shared" si="28"/>
        <v>15.79999999999996</v>
      </c>
      <c r="B254" s="5">
        <f t="shared" si="26"/>
        <v>74.546770803030427</v>
      </c>
      <c r="C254" s="5">
        <f>(0.951*(E$26+(E$27-E$26)*A254/C$58)^0.729)*(1.009^E25)*(1.044^1)</f>
        <v>4.0225442597915269</v>
      </c>
      <c r="D254" s="5">
        <f t="shared" si="27"/>
        <v>48.794751890637478</v>
      </c>
      <c r="E254" s="4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</row>
    <row r="255" spans="1:16">
      <c r="A255" s="5">
        <f t="shared" si="28"/>
        <v>15.899999999999959</v>
      </c>
      <c r="B255" s="5">
        <f t="shared" si="26"/>
        <v>73.341154865677737</v>
      </c>
      <c r="C255" s="5">
        <f>(0.951*(E$26+(E$27-E$26)*A255/C$58)^0.729)*(1.009^E25)*(1.044^1)</f>
        <v>4.0238358108867764</v>
      </c>
      <c r="D255" s="5">
        <f t="shared" si="27"/>
        <v>48.138164310841496</v>
      </c>
      <c r="E255" s="4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</row>
    <row r="256" spans="1:16">
      <c r="A256" s="5">
        <f t="shared" si="28"/>
        <v>15.999999999999959</v>
      </c>
      <c r="B256" s="5">
        <f t="shared" si="26"/>
        <v>72.155036886086918</v>
      </c>
      <c r="C256" s="5">
        <f>(0.951*(E$26+(E$27-E$26)*A256/C$58)^0.729)*(1.009^E25)*(1.044^1)</f>
        <v>4.0251272078925826</v>
      </c>
      <c r="D256" s="5">
        <f t="shared" si="27"/>
        <v>47.489082993827488</v>
      </c>
      <c r="E256" s="4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</row>
    <row r="257" spans="1:16">
      <c r="A257" s="5">
        <f t="shared" ref="A257:A288" si="29">A256+0.1</f>
        <v>16.099999999999959</v>
      </c>
      <c r="B257" s="5">
        <f t="shared" si="26"/>
        <v>70.988101531368642</v>
      </c>
      <c r="C257" s="5">
        <f>(0.951*(E$26+(E$27-E$26)*A257/C$58)^0.729)*(1.009^E25)*(1.044^1)</f>
        <v>4.0264184508951253</v>
      </c>
      <c r="D257" s="5">
        <f t="shared" si="27"/>
        <v>46.847463828742001</v>
      </c>
      <c r="E257" s="4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</row>
    <row r="258" spans="1:16">
      <c r="A258" s="5">
        <f t="shared" si="29"/>
        <v>16.19999999999996</v>
      </c>
      <c r="B258" s="5">
        <f t="shared" si="26"/>
        <v>69.840038568389843</v>
      </c>
      <c r="C258" s="5">
        <f>(0.951*(E$26+(E$27-E$26)*A258/C$58)^0.729)*(1.009^E25)*(1.044^1)</f>
        <v>4.027709539980501</v>
      </c>
      <c r="D258" s="5">
        <f t="shared" si="27"/>
        <v>46.213261409570435</v>
      </c>
      <c r="E258" s="4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</row>
    <row r="259" spans="1:16">
      <c r="A259" s="5">
        <f t="shared" si="29"/>
        <v>16.299999999999962</v>
      </c>
      <c r="B259" s="5">
        <f t="shared" si="26"/>
        <v>68.710542781297249</v>
      </c>
      <c r="C259" s="5">
        <f>(0.951*(E$26+(E$27-E$26)*A259/C$58)^0.729)*(1.009^E25)*(1.044^1)</f>
        <v>4.0290004752347235</v>
      </c>
      <c r="D259" s="5">
        <f t="shared" si="27"/>
        <v>45.586429110239671</v>
      </c>
      <c r="E259" s="4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</row>
    <row r="260" spans="1:16">
      <c r="A260" s="5">
        <f t="shared" si="29"/>
        <v>16.399999999999963</v>
      </c>
      <c r="B260" s="5">
        <f t="shared" si="26"/>
        <v>67.599313890375001</v>
      </c>
      <c r="C260" s="5">
        <f>(0.951*(E$26+(E$27-E$26)*A260/C$58)^0.729)*(1.009^E25)*(1.044^1)</f>
        <v>4.0302912567437144</v>
      </c>
      <c r="D260" s="5">
        <f t="shared" si="27"/>
        <v>44.966919157001044</v>
      </c>
      <c r="E260" s="4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</row>
    <row r="261" spans="1:16">
      <c r="A261" s="5">
        <f t="shared" si="29"/>
        <v>16.499999999999964</v>
      </c>
      <c r="B261" s="5">
        <f t="shared" si="26"/>
        <v>66.50605647221424</v>
      </c>
      <c r="C261" s="5">
        <f>(0.951*(E$26+(E$27-E$26)*A261/C$58)^0.729)*(1.009^E25)*(1.044^1)</f>
        <v>4.0315818845933125</v>
      </c>
      <c r="D261" s="5">
        <f t="shared" si="27"/>
        <v>44.354682698180675</v>
      </c>
      <c r="E261" s="4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</row>
    <row r="262" spans="1:16">
      <c r="A262" s="5">
        <f t="shared" si="29"/>
        <v>16.599999999999966</v>
      </c>
      <c r="B262" s="5">
        <f t="shared" si="26"/>
        <v>65.430479881174037</v>
      </c>
      <c r="C262" s="5">
        <f>(0.951*(E$26+(E$27-E$26)*A262/C$58)^0.729)*(1.009^E25)*(1.044^1)</f>
        <v>4.0328723588692732</v>
      </c>
      <c r="D262" s="5">
        <f t="shared" si="27"/>
        <v>43.749669871381279</v>
      </c>
      <c r="E262" s="4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</row>
    <row r="263" spans="1:16">
      <c r="A263" s="5">
        <f t="shared" si="29"/>
        <v>16.699999999999967</v>
      </c>
      <c r="B263" s="5">
        <f t="shared" si="26"/>
        <v>64.37229817211238</v>
      </c>
      <c r="C263" s="5">
        <f>(0.951*(E$26+(E$27-E$26)*A263/C$58)^0.729)*(1.009^E25)*(1.044^1)</f>
        <v>4.0341626796572632</v>
      </c>
      <c r="D263" s="5">
        <f t="shared" si="27"/>
        <v>43.151829868217078</v>
      </c>
      <c r="E263" s="4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</row>
    <row r="264" spans="1:16">
      <c r="A264" s="5">
        <f t="shared" si="29"/>
        <v>16.799999999999969</v>
      </c>
      <c r="B264" s="5">
        <f t="shared" si="26"/>
        <v>63.331230024366882</v>
      </c>
      <c r="C264" s="5">
        <f>(0.951*(E$26+(E$27-E$26)*A264/C$58)^0.729)*(1.009^E25)*(1.044^1)</f>
        <v>4.0354528470428654</v>
      </c>
      <c r="D264" s="5">
        <f t="shared" si="27"/>
        <v>42.561110996661057</v>
      </c>
      <c r="E264" s="4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</row>
    <row r="265" spans="1:16">
      <c r="A265" s="5">
        <f t="shared" si="29"/>
        <v>16.89999999999997</v>
      </c>
      <c r="B265" s="5">
        <f t="shared" si="26"/>
        <v>62.306998666964859</v>
      </c>
      <c r="C265" s="5">
        <f>(0.951*(E$26+(E$27-E$26)*A265/C$58)^0.729)*(1.009^E25)*(1.044^1)</f>
        <v>4.036742861111577</v>
      </c>
      <c r="D265" s="5">
        <f t="shared" si="27"/>
        <v>41.977460741081416</v>
      </c>
      <c r="E265" s="4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</row>
    <row r="266" spans="1:16">
      <c r="A266" s="5">
        <f t="shared" si="29"/>
        <v>16.999999999999972</v>
      </c>
      <c r="B266" s="5">
        <f t="shared" si="26"/>
        <v>61.299331805042883</v>
      </c>
      <c r="C266" s="5">
        <f>(0.951*(E$26+(E$27-E$26)*A266/C$58)^0.729)*(1.009^E25)*(1.044^1)</f>
        <v>4.0380327219488086</v>
      </c>
      <c r="D266" s="5">
        <f t="shared" si="27"/>
        <v>41.400825820041156</v>
      </c>
      <c r="E266" s="4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</row>
    <row r="267" spans="1:16">
      <c r="A267" s="5">
        <f t="shared" si="29"/>
        <v>17.099999999999973</v>
      </c>
      <c r="B267" s="5">
        <f t="shared" si="26"/>
        <v>60.307961547456543</v>
      </c>
      <c r="C267" s="5">
        <f>(0.951*(E$26+(E$27-E$26)*A267/C$58)^0.729)*(1.009^E25)*(1.044^1)</f>
        <v>4.0393224296398911</v>
      </c>
      <c r="D267" s="5">
        <f t="shared" si="27"/>
        <v>40.83115224193368</v>
      </c>
      <c r="E267" s="4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</row>
    <row r="268" spans="1:16">
      <c r="A268" s="5">
        <f t="shared" si="29"/>
        <v>17.199999999999974</v>
      </c>
      <c r="B268" s="5">
        <f t="shared" si="26"/>
        <v>59.332624335560695</v>
      </c>
      <c r="C268" s="5">
        <f>(0.951*(E$26+(E$27-E$26)*A268/C$58)^0.729)*(1.009^E25)*(1.044^1)</f>
        <v>4.040611984270063</v>
      </c>
      <c r="D268" s="5">
        <f t="shared" si="27"/>
        <v>40.268385358523361</v>
      </c>
      <c r="E268" s="4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</row>
    <row r="269" spans="1:16">
      <c r="A269" s="5">
        <f t="shared" si="29"/>
        <v>17.299999999999976</v>
      </c>
      <c r="B269" s="5">
        <f t="shared" si="26"/>
        <v>58.373060873141682</v>
      </c>
      <c r="C269" s="5">
        <f>(0.951*(E$26+(E$27-E$26)*A269/C$58)^0.729)*(1.009^E25)*(1.044^1)</f>
        <v>4.0419013859244846</v>
      </c>
      <c r="D269" s="5">
        <f t="shared" si="27"/>
        <v>39.712469916459845</v>
      </c>
      <c r="E269" s="4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</row>
    <row r="270" spans="1:16">
      <c r="A270" s="5">
        <f t="shared" si="29"/>
        <v>17.399999999999977</v>
      </c>
      <c r="B270" s="5">
        <f t="shared" si="26"/>
        <v>57.429016057482706</v>
      </c>
      <c r="C270" s="5">
        <f>(0.951*(E$26+(E$27-E$26)*A270/C$58)^0.729)*(1.009^E25)*(1.044^1)</f>
        <v>4.0431906346882265</v>
      </c>
      <c r="D270" s="5">
        <f t="shared" si="27"/>
        <v>39.163350106830819</v>
      </c>
      <c r="E270" s="4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</row>
    <row r="271" spans="1:16">
      <c r="A271" s="5">
        <f t="shared" si="29"/>
        <v>17.499999999999979</v>
      </c>
      <c r="B271" s="5">
        <f t="shared" si="26"/>
        <v>56.50023891154401</v>
      </c>
      <c r="C271" s="5">
        <f>(0.951*(E$26+(E$27-E$26)*A271/C$58)^0.729)*(1.009^E25)*(1.044^1)</f>
        <v>4.0444797306462785</v>
      </c>
      <c r="D271" s="5">
        <f t="shared" si="27"/>
        <v>38.620969612817682</v>
      </c>
      <c r="E271" s="4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</row>
    <row r="272" spans="1:16">
      <c r="A272" s="5">
        <f t="shared" si="29"/>
        <v>17.59999999999998</v>
      </c>
      <c r="B272" s="5">
        <f t="shared" si="26"/>
        <v>55.586482517239901</v>
      </c>
      <c r="C272" s="5">
        <f>(0.951*(E$26+(E$27-E$26)*A272/C$58)^0.729)*(1.009^E25)*(1.044^1)</f>
        <v>4.0457686738835443</v>
      </c>
      <c r="D272" s="5">
        <f t="shared" si="27"/>
        <v>38.08527165551525</v>
      </c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</row>
    <row r="273" spans="1:16">
      <c r="A273" s="5">
        <f t="shared" si="29"/>
        <v>17.699999999999982</v>
      </c>
      <c r="B273" s="5">
        <f t="shared" si="26"/>
        <v>54.687503949794873</v>
      </c>
      <c r="C273" s="5">
        <f>(0.951*(E$26+(E$27-E$26)*A273/C$58)^0.729)*(1.009^E25)*(1.044^1)</f>
        <v>4.0470574644848458</v>
      </c>
      <c r="D273" s="5">
        <f t="shared" si="27"/>
        <v>37.556199037975695</v>
      </c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</row>
    <row r="274" spans="1:16">
      <c r="A274" s="5">
        <f t="shared" si="29"/>
        <v>17.799999999999983</v>
      </c>
      <c r="B274" s="5">
        <f t="shared" si="26"/>
        <v>53.803064213161356</v>
      </c>
      <c r="C274" s="5">
        <f>(0.951*(E$26+(E$27-E$26)*A274/C$58)^0.729)*(1.009^E25)*(1.044^1)</f>
        <v>4.0483461025349161</v>
      </c>
      <c r="D274" s="5">
        <f t="shared" si="27"/>
        <v>37.033694187534465</v>
      </c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</row>
    <row r="275" spans="1:16">
      <c r="A275" s="5">
        <f t="shared" si="29"/>
        <v>17.899999999999984</v>
      </c>
      <c r="B275" s="5">
        <f t="shared" si="26"/>
        <v>52.932928176481944</v>
      </c>
      <c r="C275" s="5">
        <f>(0.951*(E$26+(E$27-E$26)*A275/C$58)^0.729)*(1.009^E25)*(1.044^1)</f>
        <v>4.0496345881184075</v>
      </c>
      <c r="D275" s="5">
        <f t="shared" si="27"/>
        <v>36.517699196474432</v>
      </c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</row>
    <row r="276" spans="1:16">
      <c r="A276" s="5">
        <f t="shared" si="29"/>
        <v>17.999999999999986</v>
      </c>
      <c r="B276" s="5">
        <f t="shared" si="26"/>
        <v>52.076864511579103</v>
      </c>
      <c r="C276" s="5">
        <f>(0.951*(E$26+(E$27-E$26)*A276/C$58)^0.729)*(1.009^E25)*(1.044^1)</f>
        <v>4.0509229213198878</v>
      </c>
      <c r="D276" s="5">
        <f t="shared" si="27"/>
        <v>36.008155861082827</v>
      </c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</row>
    <row r="277" spans="1:16">
      <c r="A277" s="5">
        <f t="shared" si="29"/>
        <v>18.099999999999987</v>
      </c>
      <c r="B277" s="5">
        <f t="shared" si="26"/>
        <v>51.234645631456075</v>
      </c>
      <c r="C277" s="5">
        <f>(0.951*(E$26+(E$27-E$26)*A277/C$58)^0.729)*(1.009^E25)*(1.044^1)</f>
        <v>4.0522111022238425</v>
      </c>
      <c r="D277" s="5">
        <f t="shared" si="27"/>
        <v>35.505005719153601</v>
      </c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</row>
    <row r="278" spans="1:16">
      <c r="A278" s="5">
        <f t="shared" si="29"/>
        <v>18.199999999999989</v>
      </c>
      <c r="B278" s="5">
        <f t="shared" si="26"/>
        <v>50.406047629791999</v>
      </c>
      <c r="C278" s="5">
        <f>(0.951*(E$26+(E$27-E$26)*A278/C$58)^0.729)*(1.009^E25)*(1.044^1)</f>
        <v>4.0534991309146706</v>
      </c>
      <c r="D278" s="5">
        <f t="shared" si="27"/>
        <v>35.008190085986321</v>
      </c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</row>
    <row r="279" spans="1:16">
      <c r="A279" s="5">
        <f t="shared" si="29"/>
        <v>18.29999999999999</v>
      </c>
      <c r="B279" s="5">
        <f t="shared" si="26"/>
        <v>49.59085022141592</v>
      </c>
      <c r="C279" s="5">
        <f>(0.951*(E$26+(E$27-E$26)*A279/C$58)^0.729)*(1.009^E25)*(1.044^1)</f>
        <v>4.0547870074766879</v>
      </c>
      <c r="D279" s="5">
        <f t="shared" si="27"/>
        <v>34.517650088931397</v>
      </c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</row>
    <row r="280" spans="1:16">
      <c r="A280" s="5">
        <f t="shared" si="29"/>
        <v>18.399999999999991</v>
      </c>
      <c r="B280" s="5">
        <f t="shared" si="26"/>
        <v>48.788836683743284</v>
      </c>
      <c r="C280" s="5">
        <f>(0.951*(E$26+(E$27-E$26)*A280/C$58)^0.729)*(1.009^E25)*(1.044^1)</f>
        <v>4.0560747319941308</v>
      </c>
      <c r="D280" s="5">
        <f t="shared" si="27"/>
        <v>34.033326700529599</v>
      </c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</row>
    <row r="281" spans="1:16">
      <c r="A281" s="5">
        <f t="shared" si="29"/>
        <v>18.499999999999993</v>
      </c>
      <c r="B281" s="5">
        <f t="shared" si="26"/>
        <v>47.99979379915964</v>
      </c>
      <c r="C281" s="5">
        <f>(0.951*(E$26+(E$27-E$26)*A281/C$58)^0.729)*(1.009^E25)*(1.044^1)</f>
        <v>4.0573623045511464</v>
      </c>
      <c r="D281" s="5">
        <f t="shared" si="27"/>
        <v>33.555160770292126</v>
      </c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</row>
    <row r="282" spans="1:16">
      <c r="A282" s="5">
        <f t="shared" si="29"/>
        <v>18.599999999999994</v>
      </c>
      <c r="B282" s="5">
        <f t="shared" si="26"/>
        <v>47.223511798336112</v>
      </c>
      <c r="C282" s="5">
        <f>(0.951*(E$26+(E$27-E$26)*A282/C$58)^0.729)*(1.009^E25)*(1.044^1)</f>
        <v>4.0586497252318035</v>
      </c>
      <c r="D282" s="5">
        <f t="shared" si="27"/>
        <v>33.083093055166934</v>
      </c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</row>
    <row r="283" spans="1:16">
      <c r="A283" s="5">
        <f t="shared" si="29"/>
        <v>18.699999999999996</v>
      </c>
      <c r="B283" s="5">
        <f t="shared" si="26"/>
        <v>46.459784304461586</v>
      </c>
      <c r="C283" s="5">
        <f>(0.951*(E$26+(E$27-E$26)*A283/C$58)^0.729)*(1.009^E25)*(1.044^1)</f>
        <v>4.0599369941200854</v>
      </c>
      <c r="D283" s="5">
        <f t="shared" si="27"/>
        <v>32.617064248734494</v>
      </c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</row>
    <row r="284" spans="1:16">
      <c r="A284" s="5">
        <f t="shared" si="29"/>
        <v>18.799999999999997</v>
      </c>
      <c r="B284" s="5">
        <f t="shared" si="26"/>
        <v>45.708408278376893</v>
      </c>
      <c r="C284" s="5">
        <f>(0.951*(E$26+(E$27-E$26)*A284/C$58)^0.729)*(1.009^E25)*(1.044^1)</f>
        <v>4.0612241112998921</v>
      </c>
      <c r="D284" s="5">
        <f t="shared" si="27"/>
        <v>32.157015009175588</v>
      </c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</row>
    <row r="285" spans="1:16">
      <c r="A285" s="5">
        <f t="shared" si="29"/>
        <v>18.899999999999999</v>
      </c>
      <c r="B285" s="5">
        <f t="shared" si="26"/>
        <v>44.969183964596226</v>
      </c>
      <c r="C285" s="5">
        <f>(0.951*(E$26+(E$27-E$26)*A285/C$58)^0.729)*(1.009^E25)*(1.044^1)</f>
        <v>4.062511076855043</v>
      </c>
      <c r="D285" s="5">
        <f t="shared" si="27"/>
        <v>31.702885986052365</v>
      </c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</row>
    <row r="286" spans="1:16">
      <c r="A286" s="5">
        <f t="shared" si="29"/>
        <v>19</v>
      </c>
      <c r="B286" s="5">
        <f t="shared" si="26"/>
        <v>44.241914838201573</v>
      </c>
      <c r="C286" s="5">
        <f>(0.951*(E$26+(E$27-E$26)*A286/C$58)^0.729)*(1.009^E25)*(1.044^1)</f>
        <v>4.0637978908692736</v>
      </c>
      <c r="D286" s="5">
        <f t="shared" si="27"/>
        <v>31.254617845942018</v>
      </c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</row>
    <row r="287" spans="1:16">
      <c r="A287" s="5">
        <f t="shared" si="29"/>
        <v>19.100000000000001</v>
      </c>
      <c r="B287" s="5">
        <f t="shared" si="26"/>
        <v>43.526407552596012</v>
      </c>
      <c r="C287" s="5">
        <f>(0.951*(E$26+(E$27-E$26)*A287/C$58)^0.729)*(1.009^E25)*(1.044^1)</f>
        <v>4.0650845534262361</v>
      </c>
      <c r="D287" s="5">
        <f t="shared" si="27"/>
        <v>30.812151296962082</v>
      </c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</row>
    <row r="288" spans="1:16">
      <c r="A288" s="5">
        <f t="shared" si="29"/>
        <v>19.200000000000003</v>
      </c>
      <c r="B288" s="5">
        <f t="shared" ref="B288:B296" si="30">F$63*EXP(-F$64*A288)</f>
        <v>42.822471888101937</v>
      </c>
      <c r="C288" s="5">
        <f>(0.951*(E$26+(E$27-E$26)*A288/C$58)^0.729)*(1.009^E25)*(1.044^1)</f>
        <v>4.066371064609501</v>
      </c>
      <c r="D288" s="5">
        <f t="shared" ref="D288:D296" si="31">$F$63*$F$66/($F$65/C288-$F$64)/C288*(EXP(-$F$64*A288)-EXP(-$F$65/C288*A288))</f>
        <v>30.375427112224415</v>
      </c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</row>
    <row r="289" spans="1:16">
      <c r="A289" s="5">
        <f t="shared" ref="A289:A296" si="32">A288+0.1</f>
        <v>19.300000000000004</v>
      </c>
      <c r="B289" s="5">
        <f t="shared" si="30"/>
        <v>42.129920701390652</v>
      </c>
      <c r="C289" s="5">
        <f>(0.951*(E$26+(E$27-E$26)*A289/C$58)^0.729)*(1.009^E25)*(1.044^1)</f>
        <v>4.0676574245025572</v>
      </c>
      <c r="D289" s="5">
        <f t="shared" si="31"/>
        <v>29.944386152254154</v>
      </c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</row>
    <row r="290" spans="1:16">
      <c r="A290" s="5">
        <f t="shared" si="32"/>
        <v>19.400000000000006</v>
      </c>
      <c r="B290" s="5">
        <f t="shared" si="30"/>
        <v>41.448569875729703</v>
      </c>
      <c r="C290" s="5">
        <f>(0.951*(E$26+(E$27-E$26)*A290/C$58)^0.729)*(1.009^E25)*(1.044^1)</f>
        <v>4.068943633188808</v>
      </c>
      <c r="D290" s="5">
        <f t="shared" si="31"/>
        <v>29.518969386408738</v>
      </c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</row>
    <row r="291" spans="1:16">
      <c r="A291" s="5">
        <f t="shared" si="32"/>
        <v>19.500000000000007</v>
      </c>
      <c r="B291" s="5">
        <f t="shared" si="30"/>
        <v>40.778238272035004</v>
      </c>
      <c r="C291" s="5">
        <f>(0.951*(E$26+(E$27-E$26)*A291/C$58)^0.729)*(1.009^E25)*(1.044^1)</f>
        <v>4.0702296907515798</v>
      </c>
      <c r="D291" s="5">
        <f t="shared" si="31"/>
        <v>29.099117913330907</v>
      </c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</row>
    <row r="292" spans="1:16">
      <c r="A292" s="5">
        <f t="shared" si="32"/>
        <v>19.600000000000009</v>
      </c>
      <c r="B292" s="5">
        <f t="shared" si="30"/>
        <v>40.118747680714421</v>
      </c>
      <c r="C292" s="5">
        <f>(0.951*(E$26+(E$27-E$26)*A292/C$58)^0.729)*(1.009^E25)*(1.044^1)</f>
        <v>4.0715155972741126</v>
      </c>
      <c r="D292" s="5">
        <f t="shared" si="31"/>
        <v>28.684772980468701</v>
      </c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</row>
    <row r="293" spans="1:16">
      <c r="A293" s="5">
        <f t="shared" si="32"/>
        <v>19.70000000000001</v>
      </c>
      <c r="B293" s="5">
        <f t="shared" si="30"/>
        <v>39.469922774290232</v>
      </c>
      <c r="C293" s="5">
        <f>(0.951*(E$26+(E$27-E$26)*A293/C$58)^0.729)*(1.009^E25)*(1.044^1)</f>
        <v>4.0728013528395657</v>
      </c>
      <c r="D293" s="5">
        <f t="shared" si="31"/>
        <v>28.275876002694066</v>
      </c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</row>
    <row r="294" spans="1:16">
      <c r="A294" s="5">
        <f t="shared" si="32"/>
        <v>19.800000000000011</v>
      </c>
      <c r="B294" s="5">
        <f t="shared" si="30"/>
        <v>38.831591060787893</v>
      </c>
      <c r="C294" s="5">
        <f>(0.951*(E$26+(E$27-E$26)*A294/C$58)^0.729)*(1.009^E25)*(1.044^1)</f>
        <v>4.0740869575310183</v>
      </c>
      <c r="D294" s="5">
        <f t="shared" si="31"/>
        <v>27.87236858005156</v>
      </c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</row>
    <row r="295" spans="1:16">
      <c r="A295" s="5">
        <f t="shared" si="32"/>
        <v>19.900000000000013</v>
      </c>
      <c r="B295" s="5">
        <f t="shared" si="30"/>
        <v>38.20358283787845</v>
      </c>
      <c r="C295" s="5">
        <f>(0.951*(E$26+(E$27-E$26)*A295/C$58)^0.729)*(1.009^E25)*(1.044^1)</f>
        <v>4.0753724114314664</v>
      </c>
      <c r="D295" s="5">
        <f t="shared" si="31"/>
        <v>27.474192514666242</v>
      </c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</row>
    <row r="296" spans="1:16">
      <c r="A296" s="5">
        <f t="shared" si="32"/>
        <v>20.000000000000014</v>
      </c>
      <c r="B296" s="5">
        <f t="shared" si="30"/>
        <v>37.585731147762758</v>
      </c>
      <c r="C296" s="5">
        <f>(0.951*(E$26+(E$27-E$26)*A296/C$58)^0.729)*(1.009^E25)*(1.044^1)</f>
        <v>4.0766577146238232</v>
      </c>
      <c r="D296" s="5">
        <f t="shared" si="31"/>
        <v>27.081289826840514</v>
      </c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</row>
    <row r="297" spans="1:16">
      <c r="A297" s="7"/>
      <c r="B297" s="7"/>
      <c r="C297" s="7"/>
      <c r="D297" s="7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</row>
    <row r="298" spans="1:16">
      <c r="A298" s="7"/>
      <c r="B298" s="7"/>
      <c r="C298" s="7"/>
      <c r="D298" s="7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</row>
    <row r="299" spans="1:16">
      <c r="A299" s="7"/>
      <c r="B299" s="7"/>
      <c r="C299" s="7"/>
      <c r="D299" s="7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</row>
    <row r="300" spans="1:16">
      <c r="A300" s="7"/>
      <c r="B300" s="7"/>
      <c r="C300" s="7"/>
      <c r="D300" s="7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</row>
    <row r="301" spans="1:16">
      <c r="A301" s="7"/>
      <c r="B301" s="7"/>
      <c r="C301" s="7"/>
      <c r="D301" s="7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</row>
    <row r="302" spans="1:16">
      <c r="A302" s="7"/>
      <c r="B302" s="7"/>
      <c r="C302" s="7"/>
      <c r="D302" s="7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</row>
    <row r="303" spans="1:16">
      <c r="A303" s="7"/>
      <c r="B303" s="7"/>
      <c r="C303" s="7"/>
      <c r="D303" s="7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</row>
    <row r="304" spans="1:16">
      <c r="A304" s="7"/>
      <c r="B304" s="7"/>
      <c r="C304" s="7"/>
      <c r="D304" s="7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</row>
    <row r="305" spans="1:16">
      <c r="A305" s="7"/>
      <c r="B305" s="7"/>
      <c r="C305" s="7"/>
      <c r="D305" s="7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</row>
    <row r="306" spans="1:16">
      <c r="A306" s="7"/>
      <c r="B306" s="7"/>
      <c r="C306" s="7"/>
      <c r="D306" s="7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</row>
    <row r="307" spans="1:16">
      <c r="A307" s="7"/>
      <c r="B307" s="7"/>
      <c r="C307" s="7"/>
      <c r="D307" s="7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</row>
    <row r="308" spans="1:16" s="2" customFormat="1">
      <c r="A308" s="7"/>
      <c r="B308" s="7"/>
      <c r="C308" s="7"/>
      <c r="D308" s="7"/>
      <c r="E308" s="5"/>
      <c r="F308" s="5"/>
      <c r="G308" s="5"/>
      <c r="H308" s="5"/>
      <c r="I308" s="5"/>
      <c r="J308" s="7"/>
      <c r="K308" s="7"/>
      <c r="L308" s="7"/>
      <c r="M308" s="7"/>
      <c r="N308" s="7"/>
      <c r="O308" s="7"/>
      <c r="P308" s="7"/>
    </row>
    <row r="309" spans="1:16">
      <c r="A309" s="7"/>
      <c r="B309" s="7"/>
      <c r="C309" s="7"/>
      <c r="D309" s="7"/>
      <c r="E309" s="7"/>
      <c r="F309" s="7"/>
      <c r="G309" s="7"/>
      <c r="H309" s="7"/>
      <c r="I309" s="7"/>
      <c r="J309" s="5"/>
      <c r="K309" s="5"/>
      <c r="L309" s="5"/>
      <c r="M309" s="5"/>
      <c r="N309" s="5"/>
      <c r="O309" s="5"/>
      <c r="P309" s="5"/>
    </row>
    <row r="310" spans="1:16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</row>
    <row r="311" spans="1:16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</row>
    <row r="312" spans="1:16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</row>
    <row r="313" spans="1:16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</row>
    <row r="314" spans="1:16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</row>
    <row r="315" spans="1:16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</row>
    <row r="316" spans="1: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</row>
    <row r="317" spans="1:16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</row>
    <row r="318" spans="1:16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</row>
    <row r="319" spans="1:16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</row>
    <row r="320" spans="1:16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</row>
    <row r="321" spans="1:16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</row>
    <row r="322" spans="1:16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</row>
    <row r="323" spans="1:16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</row>
    <row r="324" spans="1:16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</row>
    <row r="325" spans="1:16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</row>
    <row r="326" spans="1:1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</row>
    <row r="327" spans="1:16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</row>
    <row r="328" spans="1:16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</row>
    <row r="329" spans="1:16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</row>
    <row r="330" spans="1:16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</row>
    <row r="331" spans="1:16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</row>
    <row r="332" spans="1:16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</row>
    <row r="333" spans="1:16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</row>
    <row r="334" spans="1:16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</row>
    <row r="335" spans="1:16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</row>
    <row r="336" spans="1:1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</row>
    <row r="337" spans="1:16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</row>
    <row r="338" spans="1:16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</row>
    <row r="339" spans="1:16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</row>
    <row r="340" spans="1:16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</row>
    <row r="341" spans="1:16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</row>
    <row r="342" spans="1:16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</row>
    <row r="343" spans="1:16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</row>
    <row r="344" spans="1:16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</row>
    <row r="345" spans="1:16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</row>
    <row r="346" spans="1:1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</row>
    <row r="347" spans="1:16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</row>
    <row r="348" spans="1:16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</row>
    <row r="349" spans="1:16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</row>
    <row r="350" spans="1:16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</row>
    <row r="351" spans="1:16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</row>
    <row r="352" spans="1:16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</row>
    <row r="353" spans="1:16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</row>
    <row r="354" spans="1:16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</row>
    <row r="355" spans="1:16">
      <c r="A355" s="5"/>
      <c r="B355" s="5"/>
      <c r="C355" s="5"/>
      <c r="D355" s="5"/>
      <c r="E355" s="5"/>
      <c r="F355" s="5"/>
      <c r="G355" s="5"/>
      <c r="H355" s="5"/>
      <c r="I355" s="5"/>
    </row>
  </sheetData>
  <mergeCells count="19">
    <mergeCell ref="A16:I16"/>
    <mergeCell ref="A17:I17"/>
    <mergeCell ref="A12:I12"/>
    <mergeCell ref="A1:J1"/>
    <mergeCell ref="A2:J2"/>
    <mergeCell ref="A3:J3"/>
    <mergeCell ref="D49:E49"/>
    <mergeCell ref="A18:I18"/>
    <mergeCell ref="A7:I7"/>
    <mergeCell ref="D37:E37"/>
    <mergeCell ref="A5:I5"/>
    <mergeCell ref="A6:I6"/>
    <mergeCell ref="A8:I8"/>
    <mergeCell ref="A9:I9"/>
    <mergeCell ref="A10:I10"/>
    <mergeCell ref="A11:I11"/>
    <mergeCell ref="A13:I13"/>
    <mergeCell ref="A14:I14"/>
    <mergeCell ref="A15:I15"/>
  </mergeCells>
  <phoneticPr fontId="0" type="noConversion"/>
  <pageMargins left="0.75" right="0.75" top="1" bottom="1" header="0.5" footer="0.5"/>
  <pageSetup paperSize="9" scale="80" orientation="landscape" horizontalDpi="4294967292" verticalDpi="4294967292" r:id="rId1"/>
  <headerFooter alignWithMargins="0">
    <oddHeader>&amp;F</oddHeader>
    <oddFooter>Page &amp;P</oddFooter>
  </headerFooter>
  <rowBreaks count="2" manualBreakCount="2">
    <brk id="45" max="16383" man="1"/>
    <brk id="7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55"/>
  <sheetViews>
    <sheetView workbookViewId="0">
      <selection activeCell="M19" sqref="M19"/>
    </sheetView>
  </sheetViews>
  <sheetFormatPr defaultColWidth="8.7109375" defaultRowHeight="12.75"/>
  <cols>
    <col min="1" max="1" width="28.42578125" style="1" customWidth="1"/>
    <col min="2" max="2" width="11.140625" style="1" customWidth="1"/>
    <col min="3" max="3" width="15.28515625" style="1" customWidth="1"/>
    <col min="4" max="4" width="19.85546875" style="1" customWidth="1"/>
    <col min="5" max="5" width="13.5703125" style="1" customWidth="1"/>
    <col min="6" max="6" width="8.140625" style="1" customWidth="1"/>
    <col min="7" max="7" width="11.5703125" style="1" customWidth="1"/>
    <col min="8" max="8" width="14" style="1" customWidth="1"/>
    <col min="9" max="9" width="11.7109375" style="1" customWidth="1"/>
    <col min="10" max="10" width="27.5703125" style="1" customWidth="1"/>
    <col min="11" max="11" width="12.42578125" style="1" customWidth="1"/>
    <col min="12" max="12" width="12.5703125" style="1" customWidth="1"/>
    <col min="13" max="16384" width="8.7109375" style="1"/>
  </cols>
  <sheetData>
    <row r="1" spans="1:17" ht="15.75" thickTop="1">
      <c r="A1" s="68" t="s">
        <v>117</v>
      </c>
      <c r="B1" s="69"/>
      <c r="C1" s="69"/>
      <c r="D1" s="69"/>
      <c r="E1" s="69"/>
      <c r="F1" s="69"/>
      <c r="G1" s="69"/>
      <c r="H1" s="69"/>
      <c r="I1" s="69"/>
      <c r="J1" s="70"/>
    </row>
    <row r="2" spans="1:17" ht="15">
      <c r="A2" s="71" t="s">
        <v>118</v>
      </c>
      <c r="B2" s="72"/>
      <c r="C2" s="72"/>
      <c r="D2" s="72"/>
      <c r="E2" s="72"/>
      <c r="F2" s="72"/>
      <c r="G2" s="72"/>
      <c r="H2" s="72"/>
      <c r="I2" s="72"/>
      <c r="J2" s="73"/>
    </row>
    <row r="3" spans="1:17" ht="15.75" thickBot="1">
      <c r="A3" s="74" t="s">
        <v>116</v>
      </c>
      <c r="B3" s="75"/>
      <c r="C3" s="75"/>
      <c r="D3" s="75"/>
      <c r="E3" s="75"/>
      <c r="F3" s="75"/>
      <c r="G3" s="75"/>
      <c r="H3" s="75"/>
      <c r="I3" s="75"/>
      <c r="J3" s="76"/>
    </row>
    <row r="4" spans="1:17" ht="14.25" thickTop="1" thickBot="1"/>
    <row r="5" spans="1:17" ht="13.5" thickTop="1">
      <c r="A5" s="84" t="s">
        <v>66</v>
      </c>
      <c r="B5" s="85"/>
      <c r="C5" s="85"/>
      <c r="D5" s="85"/>
      <c r="E5" s="85"/>
      <c r="F5" s="85"/>
      <c r="G5" s="85"/>
      <c r="H5" s="85"/>
      <c r="I5" s="86"/>
      <c r="P5" s="6"/>
      <c r="Q5"/>
    </row>
    <row r="6" spans="1:17">
      <c r="A6" s="87" t="s">
        <v>112</v>
      </c>
      <c r="B6" s="88"/>
      <c r="C6" s="88"/>
      <c r="D6" s="88"/>
      <c r="E6" s="88"/>
      <c r="F6" s="88"/>
      <c r="G6" s="88"/>
      <c r="H6" s="88"/>
      <c r="I6" s="89"/>
      <c r="P6" s="6"/>
      <c r="Q6"/>
    </row>
    <row r="7" spans="1:17">
      <c r="A7" s="81" t="s">
        <v>56</v>
      </c>
      <c r="B7" s="82"/>
      <c r="C7" s="82"/>
      <c r="D7" s="82"/>
      <c r="E7" s="82"/>
      <c r="F7" s="82"/>
      <c r="G7" s="82"/>
      <c r="H7" s="82"/>
      <c r="I7" s="83"/>
      <c r="P7" s="6"/>
      <c r="Q7"/>
    </row>
    <row r="8" spans="1:17">
      <c r="A8" s="90" t="s">
        <v>49</v>
      </c>
      <c r="B8" s="82"/>
      <c r="C8" s="82"/>
      <c r="D8" s="82"/>
      <c r="E8" s="82"/>
      <c r="F8" s="82"/>
      <c r="G8" s="82"/>
      <c r="H8" s="82"/>
      <c r="I8" s="83"/>
      <c r="P8" s="6"/>
      <c r="Q8"/>
    </row>
    <row r="9" spans="1:17">
      <c r="A9" s="91" t="s">
        <v>60</v>
      </c>
      <c r="B9" s="82"/>
      <c r="C9" s="82"/>
      <c r="D9" s="82"/>
      <c r="E9" s="82"/>
      <c r="F9" s="82"/>
      <c r="G9" s="82"/>
      <c r="H9" s="82"/>
      <c r="I9" s="83"/>
      <c r="P9" s="6"/>
      <c r="Q9"/>
    </row>
    <row r="10" spans="1:17">
      <c r="A10" s="91" t="s">
        <v>64</v>
      </c>
      <c r="B10" s="82"/>
      <c r="C10" s="82"/>
      <c r="D10" s="82"/>
      <c r="E10" s="82"/>
      <c r="F10" s="82"/>
      <c r="G10" s="82"/>
      <c r="H10" s="82"/>
      <c r="I10" s="83"/>
      <c r="P10" s="6"/>
      <c r="Q10"/>
    </row>
    <row r="11" spans="1:17" s="3" customFormat="1">
      <c r="A11" s="91" t="s">
        <v>61</v>
      </c>
      <c r="B11" s="82"/>
      <c r="C11" s="82"/>
      <c r="D11" s="82"/>
      <c r="E11" s="82"/>
      <c r="F11" s="82"/>
      <c r="G11" s="82"/>
      <c r="H11" s="82"/>
      <c r="I11" s="83"/>
      <c r="P11" s="6"/>
      <c r="Q11"/>
    </row>
    <row r="12" spans="1:17" s="3" customFormat="1">
      <c r="A12" s="91" t="s">
        <v>62</v>
      </c>
      <c r="B12" s="82"/>
      <c r="C12" s="82"/>
      <c r="D12" s="82"/>
      <c r="E12" s="82"/>
      <c r="F12" s="82"/>
      <c r="G12" s="82"/>
      <c r="H12" s="82"/>
      <c r="I12" s="83"/>
      <c r="P12" s="6"/>
      <c r="Q12"/>
    </row>
    <row r="13" spans="1:17">
      <c r="A13" s="91" t="s">
        <v>106</v>
      </c>
      <c r="B13" s="82"/>
      <c r="C13" s="82"/>
      <c r="D13" s="82"/>
      <c r="E13" s="82"/>
      <c r="F13" s="82"/>
      <c r="G13" s="82"/>
      <c r="H13" s="82"/>
      <c r="I13" s="83"/>
      <c r="P13" s="6"/>
      <c r="Q13"/>
    </row>
    <row r="14" spans="1:17">
      <c r="A14" s="91" t="s">
        <v>63</v>
      </c>
      <c r="B14" s="82"/>
      <c r="C14" s="82"/>
      <c r="D14" s="82"/>
      <c r="E14" s="82"/>
      <c r="F14" s="82"/>
      <c r="G14" s="82"/>
      <c r="H14" s="82"/>
      <c r="I14" s="83"/>
      <c r="P14" s="6"/>
      <c r="Q14"/>
    </row>
    <row r="15" spans="1:17">
      <c r="A15" s="91" t="s">
        <v>57</v>
      </c>
      <c r="B15" s="82"/>
      <c r="C15" s="82"/>
      <c r="D15" s="82"/>
      <c r="E15" s="82"/>
      <c r="F15" s="82"/>
      <c r="G15" s="82"/>
      <c r="H15" s="82"/>
      <c r="I15" s="83"/>
      <c r="P15" s="6"/>
      <c r="Q15"/>
    </row>
    <row r="16" spans="1:17">
      <c r="A16" s="91" t="s">
        <v>107</v>
      </c>
      <c r="B16" s="82"/>
      <c r="C16" s="82"/>
      <c r="D16" s="82"/>
      <c r="E16" s="82"/>
      <c r="F16" s="82"/>
      <c r="G16" s="82"/>
      <c r="H16" s="82"/>
      <c r="I16" s="83"/>
      <c r="P16" s="6"/>
      <c r="Q16"/>
    </row>
    <row r="17" spans="1:17">
      <c r="A17" s="91" t="s">
        <v>115</v>
      </c>
      <c r="B17" s="82"/>
      <c r="C17" s="82"/>
      <c r="D17" s="82"/>
      <c r="E17" s="82"/>
      <c r="F17" s="82"/>
      <c r="G17" s="82"/>
      <c r="H17" s="82"/>
      <c r="I17" s="83"/>
      <c r="P17" s="6"/>
      <c r="Q17"/>
    </row>
    <row r="18" spans="1:17" ht="13.5" thickBot="1">
      <c r="A18" s="78" t="s">
        <v>109</v>
      </c>
      <c r="B18" s="79"/>
      <c r="C18" s="79"/>
      <c r="D18" s="79"/>
      <c r="E18" s="79"/>
      <c r="F18" s="79"/>
      <c r="G18" s="79"/>
      <c r="H18" s="79"/>
      <c r="I18" s="80"/>
      <c r="P18" s="6"/>
      <c r="Q18"/>
    </row>
    <row r="19" spans="1:17" ht="13.5" thickTop="1">
      <c r="P19" s="6"/>
      <c r="Q19"/>
    </row>
    <row r="20" spans="1:17">
      <c r="A20" s="9" t="s">
        <v>44</v>
      </c>
      <c r="B20" s="32" t="s">
        <v>111</v>
      </c>
      <c r="D20" s="5"/>
      <c r="E20" s="5"/>
      <c r="F20" s="5"/>
      <c r="G20" s="5"/>
      <c r="P20" s="6"/>
      <c r="Q20"/>
    </row>
    <row r="21" spans="1:17">
      <c r="A21" s="7"/>
      <c r="B21" s="8" t="s">
        <v>23</v>
      </c>
      <c r="C21" s="7"/>
      <c r="D21" s="7"/>
      <c r="E21" s="7"/>
      <c r="F21" s="7"/>
      <c r="G21" s="7"/>
      <c r="P21" s="6"/>
      <c r="Q21"/>
    </row>
    <row r="22" spans="1:17">
      <c r="A22" s="9" t="s">
        <v>0</v>
      </c>
      <c r="B22" s="10"/>
      <c r="C22" s="10"/>
      <c r="D22" s="9" t="s">
        <v>1</v>
      </c>
      <c r="E22" s="10"/>
      <c r="F22" s="10"/>
      <c r="G22" s="10"/>
      <c r="P22" s="5"/>
    </row>
    <row r="23" spans="1:17">
      <c r="A23" s="10" t="s">
        <v>32</v>
      </c>
      <c r="B23" s="11">
        <v>26907</v>
      </c>
      <c r="C23" s="10"/>
      <c r="D23" s="12" t="s">
        <v>32</v>
      </c>
      <c r="E23" s="11">
        <v>38406</v>
      </c>
      <c r="F23" s="10"/>
      <c r="G23" s="10"/>
      <c r="P23" s="5"/>
    </row>
    <row r="24" spans="1:17">
      <c r="A24" s="12" t="s">
        <v>75</v>
      </c>
      <c r="B24" s="13">
        <f>TRUNC((B30-B23)/365.25)</f>
        <v>31</v>
      </c>
      <c r="C24" s="10" t="s">
        <v>3</v>
      </c>
      <c r="D24" s="12" t="s">
        <v>90</v>
      </c>
      <c r="E24" s="26" t="s">
        <v>114</v>
      </c>
      <c r="F24" s="10"/>
      <c r="G24" s="10"/>
      <c r="P24" s="5"/>
    </row>
    <row r="25" spans="1:17">
      <c r="A25" s="12" t="s">
        <v>74</v>
      </c>
      <c r="B25" s="25">
        <v>54.56</v>
      </c>
      <c r="C25" s="10" t="s">
        <v>4</v>
      </c>
      <c r="D25" s="12" t="s">
        <v>75</v>
      </c>
      <c r="E25" s="14">
        <f>((B30-E23)/365.25*12)</f>
        <v>6.1437371663244349</v>
      </c>
      <c r="F25" s="10" t="s">
        <v>31</v>
      </c>
      <c r="G25" s="10"/>
      <c r="P25" s="5"/>
    </row>
    <row r="26" spans="1:17">
      <c r="A26" s="53" t="s">
        <v>72</v>
      </c>
      <c r="B26" s="41">
        <v>153</v>
      </c>
      <c r="C26" s="15" t="s">
        <v>73</v>
      </c>
      <c r="D26" s="12" t="s">
        <v>91</v>
      </c>
      <c r="E26" s="25">
        <v>5.88</v>
      </c>
      <c r="F26" s="10" t="s">
        <v>4</v>
      </c>
      <c r="G26" s="10"/>
      <c r="P26" s="5"/>
    </row>
    <row r="27" spans="1:17">
      <c r="A27" s="9" t="s">
        <v>2</v>
      </c>
      <c r="B27" s="4"/>
      <c r="C27" s="4"/>
      <c r="D27" s="12" t="s">
        <v>92</v>
      </c>
      <c r="E27" s="25">
        <v>6.27</v>
      </c>
      <c r="F27" s="10" t="s">
        <v>4</v>
      </c>
      <c r="G27" s="10"/>
      <c r="P27" s="5"/>
    </row>
    <row r="28" spans="1:17">
      <c r="A28" s="3" t="s">
        <v>47</v>
      </c>
      <c r="B28" s="31">
        <v>1</v>
      </c>
      <c r="C28" s="37"/>
      <c r="D28" s="54" t="s">
        <v>110</v>
      </c>
      <c r="P28" s="5"/>
    </row>
    <row r="29" spans="1:17" ht="15.75">
      <c r="A29" s="15" t="s">
        <v>48</v>
      </c>
      <c r="B29" s="27">
        <v>30.01</v>
      </c>
      <c r="C29" s="39"/>
      <c r="D29" s="3" t="s">
        <v>103</v>
      </c>
      <c r="E29" s="55">
        <v>0.11101</v>
      </c>
      <c r="F29" s="3" t="s">
        <v>68</v>
      </c>
      <c r="G29" s="3"/>
      <c r="P29" s="5"/>
    </row>
    <row r="30" spans="1:17" ht="14.25">
      <c r="A30" s="4" t="s">
        <v>45</v>
      </c>
      <c r="B30" s="28">
        <v>38593</v>
      </c>
      <c r="C30" s="39"/>
      <c r="D30" s="3" t="s">
        <v>104</v>
      </c>
      <c r="E30" s="41">
        <v>99.610299999999995</v>
      </c>
      <c r="F30" s="3" t="s">
        <v>68</v>
      </c>
      <c r="G30" s="3"/>
      <c r="P30" s="5"/>
    </row>
    <row r="31" spans="1:17">
      <c r="A31" s="4" t="s">
        <v>46</v>
      </c>
      <c r="B31" s="29">
        <v>0.41666666666666669</v>
      </c>
      <c r="C31" s="39"/>
      <c r="D31" s="3" t="s">
        <v>71</v>
      </c>
      <c r="E31" s="56">
        <f>E29/(E30-E29)*1000000</f>
        <v>1115.6863531388012</v>
      </c>
      <c r="F31" s="3" t="s">
        <v>69</v>
      </c>
      <c r="G31" s="57">
        <f>E31/G34</f>
        <v>1.0542499380017492</v>
      </c>
      <c r="H31" s="3" t="s">
        <v>93</v>
      </c>
      <c r="P31" s="5"/>
    </row>
    <row r="32" spans="1:17" s="3" customFormat="1">
      <c r="A32" s="7"/>
      <c r="B32" s="53" t="s">
        <v>88</v>
      </c>
      <c r="C32" s="7" t="s">
        <v>67</v>
      </c>
      <c r="D32" s="41">
        <v>111.1</v>
      </c>
      <c r="E32" s="41">
        <v>113.5</v>
      </c>
      <c r="F32" s="3" t="s">
        <v>69</v>
      </c>
      <c r="G32" s="56">
        <f>AVERAGE(D32:E32,D34:E34)</f>
        <v>111.75</v>
      </c>
      <c r="H32" s="58" t="s">
        <v>96</v>
      </c>
      <c r="I32" s="56">
        <f>STDEV(D32:E32,D34:E34)</f>
        <v>1.5779733838059484</v>
      </c>
      <c r="P32" s="10"/>
    </row>
    <row r="33" spans="1:16">
      <c r="B33" s="12" t="s">
        <v>88</v>
      </c>
      <c r="C33" s="10" t="s">
        <v>70</v>
      </c>
      <c r="D33" s="41">
        <v>1172.5</v>
      </c>
      <c r="E33" s="41">
        <v>1169.0999999999999</v>
      </c>
      <c r="F33" s="3" t="s">
        <v>69</v>
      </c>
      <c r="G33" s="56">
        <f>AVERAGE(D33:E33,D35:E35)</f>
        <v>1170.0250000000001</v>
      </c>
      <c r="H33" s="58" t="s">
        <v>96</v>
      </c>
      <c r="I33" s="56">
        <f>STDEV(D33:E33,D35:E35)</f>
        <v>1.7613914953808698</v>
      </c>
      <c r="J33" s="5"/>
      <c r="K33" s="5"/>
      <c r="L33" s="6"/>
      <c r="M33" s="6"/>
      <c r="N33" s="6"/>
      <c r="O33" s="6"/>
      <c r="P33" s="5"/>
    </row>
    <row r="34" spans="1:16" ht="15.75">
      <c r="A34" s="16"/>
      <c r="B34" s="12" t="s">
        <v>89</v>
      </c>
      <c r="C34" s="7" t="s">
        <v>67</v>
      </c>
      <c r="D34" s="41">
        <v>112.5</v>
      </c>
      <c r="E34" s="41">
        <v>109.9</v>
      </c>
      <c r="F34" s="3" t="s">
        <v>69</v>
      </c>
      <c r="G34" s="56">
        <f>G33-G32</f>
        <v>1058.2750000000001</v>
      </c>
      <c r="H34" s="58" t="s">
        <v>87</v>
      </c>
      <c r="I34" s="3"/>
      <c r="J34" s="5"/>
      <c r="K34" s="5"/>
      <c r="L34" s="6"/>
      <c r="M34" s="6"/>
      <c r="N34" s="6"/>
      <c r="O34" s="6"/>
      <c r="P34" s="5"/>
    </row>
    <row r="35" spans="1:16" ht="15.75">
      <c r="A35" s="16"/>
      <c r="B35" s="12" t="s">
        <v>89</v>
      </c>
      <c r="C35" s="10" t="s">
        <v>70</v>
      </c>
      <c r="D35" s="41">
        <v>1168.5</v>
      </c>
      <c r="E35" s="41">
        <v>1170</v>
      </c>
      <c r="F35" s="3" t="s">
        <v>69</v>
      </c>
      <c r="G35" s="59">
        <f>(E30-E29)*B29/E29*G34/1000</f>
        <v>28465.735608087092</v>
      </c>
      <c r="H35" s="3" t="s">
        <v>105</v>
      </c>
      <c r="I35" s="3"/>
      <c r="J35" s="5"/>
      <c r="K35" s="5"/>
      <c r="L35" s="6"/>
      <c r="M35" s="6"/>
      <c r="N35" s="6"/>
      <c r="O35" s="6"/>
      <c r="P35" s="5"/>
    </row>
    <row r="36" spans="1:16" ht="15.75">
      <c r="A36" s="16" t="s">
        <v>25</v>
      </c>
      <c r="B36" s="10"/>
      <c r="C36" s="39"/>
      <c r="D36"/>
      <c r="E36"/>
      <c r="F36" s="38"/>
      <c r="H36" s="45"/>
      <c r="I36" s="38"/>
      <c r="J36" s="40"/>
      <c r="K36" s="5"/>
      <c r="L36" s="6"/>
      <c r="M36" s="6"/>
      <c r="N36" s="6"/>
      <c r="O36" s="6"/>
      <c r="P36" s="5"/>
    </row>
    <row r="37" spans="1:16">
      <c r="A37" s="17"/>
      <c r="B37" s="5"/>
      <c r="C37" s="5"/>
      <c r="D37" s="77" t="s">
        <v>80</v>
      </c>
      <c r="E37" s="77"/>
      <c r="F37" s="5"/>
      <c r="G37" s="5" t="s">
        <v>81</v>
      </c>
      <c r="H37" s="5"/>
      <c r="I37" s="5"/>
      <c r="M37" s="10"/>
      <c r="N37" s="6"/>
      <c r="O37" s="6"/>
      <c r="P37" s="5"/>
    </row>
    <row r="38" spans="1:16">
      <c r="A38" s="10" t="s">
        <v>27</v>
      </c>
      <c r="B38" s="10" t="s">
        <v>5</v>
      </c>
      <c r="C38" s="5" t="s">
        <v>28</v>
      </c>
      <c r="D38" s="5" t="s">
        <v>6</v>
      </c>
      <c r="E38" s="5" t="s">
        <v>6</v>
      </c>
      <c r="F38" s="5" t="s">
        <v>24</v>
      </c>
      <c r="G38" s="5" t="s">
        <v>82</v>
      </c>
      <c r="H38" s="5" t="s">
        <v>35</v>
      </c>
      <c r="I38" s="5" t="s">
        <v>36</v>
      </c>
      <c r="J38" s="5" t="s">
        <v>7</v>
      </c>
      <c r="K38" s="5" t="s">
        <v>41</v>
      </c>
      <c r="L38" s="6"/>
      <c r="M38" s="5"/>
      <c r="N38" s="6"/>
      <c r="O38" s="6"/>
      <c r="P38" s="5"/>
    </row>
    <row r="39" spans="1:16">
      <c r="A39" s="5"/>
      <c r="B39" s="5"/>
      <c r="C39" s="5" t="s">
        <v>29</v>
      </c>
      <c r="D39" s="5" t="s">
        <v>30</v>
      </c>
      <c r="E39" s="5" t="s">
        <v>30</v>
      </c>
      <c r="F39" s="5" t="s">
        <v>30</v>
      </c>
      <c r="G39" s="5" t="s">
        <v>83</v>
      </c>
      <c r="H39" s="5" t="s">
        <v>30</v>
      </c>
      <c r="I39" s="5"/>
      <c r="J39" s="5" t="s">
        <v>30</v>
      </c>
      <c r="K39" s="5" t="s">
        <v>42</v>
      </c>
      <c r="L39" s="6"/>
      <c r="M39" s="5"/>
      <c r="N39" s="6"/>
      <c r="O39" s="6"/>
      <c r="P39" s="5"/>
    </row>
    <row r="40" spans="1:16">
      <c r="A40" s="51">
        <f>B30</f>
        <v>38593</v>
      </c>
      <c r="B40" s="52">
        <f>B31</f>
        <v>0.41666666666666669</v>
      </c>
      <c r="C40" s="30">
        <v>0</v>
      </c>
      <c r="D40" s="41">
        <v>149.37140000000005</v>
      </c>
      <c r="E40" s="41">
        <v>150.41366000000011</v>
      </c>
      <c r="F40" s="18">
        <f>AVERAGE(D40:E40)</f>
        <v>149.89253000000008</v>
      </c>
      <c r="G40" s="18">
        <f>(F40-F$40)</f>
        <v>0</v>
      </c>
      <c r="H40" s="5">
        <f t="shared" ref="H40:H46" si="0">STDEV(D40:E40)</f>
        <v>0.73698911375953036</v>
      </c>
      <c r="I40" s="5">
        <f t="shared" ref="I40:I46" si="1">100*H40/F40</f>
        <v>0.49167834698602386</v>
      </c>
      <c r="J40" s="18">
        <f t="shared" ref="J40:J46" si="2">F$63*EXP(-F$64*C40)</f>
        <v>980.03422981702874</v>
      </c>
      <c r="K40" s="5"/>
      <c r="L40" s="6"/>
      <c r="M40" s="5"/>
      <c r="N40" s="6"/>
      <c r="O40" s="6"/>
      <c r="P40" s="5"/>
    </row>
    <row r="41" spans="1:16">
      <c r="A41" s="11">
        <v>38594</v>
      </c>
      <c r="B41" s="19">
        <v>0.5</v>
      </c>
      <c r="C41" s="30">
        <f t="shared" ref="C41:C46" si="3">((A41-B$30)+(B41-B$31))</f>
        <v>1.0833333333333333</v>
      </c>
      <c r="D41" s="41">
        <v>940.09932000000026</v>
      </c>
      <c r="E41" s="41">
        <v>939.75190000000021</v>
      </c>
      <c r="F41" s="18">
        <f t="shared" ref="F41:F46" si="4">AVERAGE(D41:E41)</f>
        <v>939.92561000000023</v>
      </c>
      <c r="G41" s="18">
        <f t="shared" ref="G41:G46" si="5">(F41-F$40)</f>
        <v>790.03308000000015</v>
      </c>
      <c r="H41" s="5">
        <f t="shared" si="0"/>
        <v>0.24566303791987026</v>
      </c>
      <c r="I41" s="5">
        <f t="shared" si="1"/>
        <v>2.6136434129065831E-2</v>
      </c>
      <c r="J41" s="18">
        <f t="shared" si="2"/>
        <v>821.35221696626354</v>
      </c>
      <c r="K41" s="5">
        <f>(J41-G41)^2</f>
        <v>980.88834031156568</v>
      </c>
      <c r="L41" s="6"/>
      <c r="M41" s="5"/>
      <c r="N41" s="6"/>
      <c r="O41" s="5"/>
      <c r="P41" s="5"/>
    </row>
    <row r="42" spans="1:16">
      <c r="A42" s="11">
        <v>38595</v>
      </c>
      <c r="B42" s="19">
        <v>0.35416666666666669</v>
      </c>
      <c r="C42" s="30">
        <f t="shared" si="3"/>
        <v>1.9375</v>
      </c>
      <c r="D42" s="41">
        <v>889.3760000000002</v>
      </c>
      <c r="E42" s="41">
        <v>888.68116000000009</v>
      </c>
      <c r="F42" s="18">
        <f t="shared" si="4"/>
        <v>889.02858000000015</v>
      </c>
      <c r="G42" s="18">
        <f t="shared" si="5"/>
        <v>739.13605000000007</v>
      </c>
      <c r="H42" s="5">
        <f t="shared" si="0"/>
        <v>0.49132607583974053</v>
      </c>
      <c r="I42" s="5">
        <f t="shared" si="1"/>
        <v>5.5265498420730232E-2</v>
      </c>
      <c r="J42" s="18">
        <f t="shared" si="2"/>
        <v>714.57056290616515</v>
      </c>
      <c r="K42" s="5">
        <f t="shared" ref="K42:K46" si="6">(J42-G42)^2</f>
        <v>603.46315615736989</v>
      </c>
      <c r="L42" s="6"/>
      <c r="M42" s="5"/>
      <c r="N42" s="6"/>
      <c r="O42" s="5"/>
      <c r="P42" s="5"/>
    </row>
    <row r="43" spans="1:16">
      <c r="A43" s="11">
        <v>38596</v>
      </c>
      <c r="B43" s="19">
        <v>0.4375</v>
      </c>
      <c r="C43" s="30">
        <f t="shared" si="3"/>
        <v>3.0208333333333335</v>
      </c>
      <c r="D43" s="41">
        <v>763.95738000000006</v>
      </c>
      <c r="E43" s="41">
        <v>762.22028</v>
      </c>
      <c r="F43" s="18">
        <f t="shared" si="4"/>
        <v>763.08883000000003</v>
      </c>
      <c r="G43" s="18">
        <f t="shared" si="5"/>
        <v>613.19629999999995</v>
      </c>
      <c r="H43" s="5">
        <f t="shared" si="0"/>
        <v>1.2283151895991906</v>
      </c>
      <c r="I43" s="5">
        <f t="shared" si="1"/>
        <v>0.16096621275391892</v>
      </c>
      <c r="J43" s="18">
        <f t="shared" si="2"/>
        <v>598.8710375262973</v>
      </c>
      <c r="K43" s="5">
        <f t="shared" si="6"/>
        <v>205.2131449404734</v>
      </c>
      <c r="L43" s="6"/>
      <c r="M43" s="5"/>
      <c r="N43" s="6"/>
      <c r="O43" s="5"/>
      <c r="P43" s="5"/>
    </row>
    <row r="44" spans="1:16">
      <c r="A44" s="11">
        <v>38597</v>
      </c>
      <c r="B44" s="19">
        <v>0.45833333333333331</v>
      </c>
      <c r="C44" s="30">
        <f t="shared" si="3"/>
        <v>4.041666666666667</v>
      </c>
      <c r="D44" s="41">
        <v>661.81590000000006</v>
      </c>
      <c r="E44" s="41">
        <v>662.85816000000023</v>
      </c>
      <c r="F44" s="18">
        <f t="shared" si="4"/>
        <v>662.33703000000014</v>
      </c>
      <c r="G44" s="18">
        <f t="shared" si="5"/>
        <v>512.44450000000006</v>
      </c>
      <c r="H44" s="5">
        <f t="shared" si="0"/>
        <v>0.73698911375961085</v>
      </c>
      <c r="I44" s="5">
        <f t="shared" si="1"/>
        <v>0.1112710116418541</v>
      </c>
      <c r="J44" s="18">
        <f t="shared" si="2"/>
        <v>507.04578964093838</v>
      </c>
      <c r="K44" s="5">
        <f t="shared" si="6"/>
        <v>29.146073541039907</v>
      </c>
      <c r="L44" s="6"/>
      <c r="M44" s="5"/>
      <c r="N44" s="6"/>
      <c r="O44" s="5"/>
      <c r="P44" s="5"/>
    </row>
    <row r="45" spans="1:16">
      <c r="A45" s="11">
        <v>38606</v>
      </c>
      <c r="B45" s="19">
        <v>0.4375</v>
      </c>
      <c r="C45" s="30">
        <f t="shared" si="3"/>
        <v>13.020833333333334</v>
      </c>
      <c r="D45" s="41">
        <v>254.98708000000005</v>
      </c>
      <c r="E45" s="41">
        <v>258.46128000000004</v>
      </c>
      <c r="F45" s="18">
        <f t="shared" si="4"/>
        <v>256.72418000000005</v>
      </c>
      <c r="G45" s="18">
        <f t="shared" si="5"/>
        <v>106.83164999999997</v>
      </c>
      <c r="H45" s="5">
        <f t="shared" si="0"/>
        <v>2.4566303791983004</v>
      </c>
      <c r="I45" s="5">
        <f t="shared" si="1"/>
        <v>0.95691429580115905</v>
      </c>
      <c r="J45" s="18">
        <f t="shared" si="2"/>
        <v>117.28008888768036</v>
      </c>
      <c r="K45" s="5">
        <f t="shared" si="6"/>
        <v>109.16987518959195</v>
      </c>
      <c r="L45" s="6"/>
      <c r="M45" s="5"/>
      <c r="N45" s="6"/>
      <c r="O45" s="5"/>
      <c r="P45" s="5"/>
    </row>
    <row r="46" spans="1:16">
      <c r="A46" s="11">
        <v>38607</v>
      </c>
      <c r="B46" s="19">
        <v>0.41666666666666669</v>
      </c>
      <c r="C46" s="30">
        <f t="shared" si="3"/>
        <v>14</v>
      </c>
      <c r="D46" s="41">
        <v>231.01510000000002</v>
      </c>
      <c r="E46" s="41">
        <v>230.32026000000013</v>
      </c>
      <c r="F46" s="18">
        <f t="shared" si="4"/>
        <v>230.66768000000008</v>
      </c>
      <c r="G46" s="18">
        <f t="shared" si="5"/>
        <v>80.775149999999996</v>
      </c>
      <c r="H46" s="5">
        <f t="shared" si="0"/>
        <v>0.49132607583957977</v>
      </c>
      <c r="I46" s="5">
        <f t="shared" si="1"/>
        <v>0.21300169830449572</v>
      </c>
      <c r="J46" s="18">
        <f t="shared" si="2"/>
        <v>99.974355069364222</v>
      </c>
      <c r="K46" s="5">
        <f t="shared" si="6"/>
        <v>368.609475295501</v>
      </c>
      <c r="L46" s="6"/>
      <c r="M46" s="18"/>
      <c r="N46" s="6"/>
      <c r="O46" s="5"/>
      <c r="P46" s="5"/>
    </row>
    <row r="47" spans="1:16">
      <c r="A47" s="5"/>
      <c r="B47" s="5"/>
      <c r="C47" s="5"/>
      <c r="D47" s="5"/>
      <c r="E47" s="5"/>
      <c r="F47" s="5"/>
      <c r="G47" s="5"/>
      <c r="H47" s="5"/>
      <c r="I47" s="5"/>
      <c r="J47" s="5" t="s">
        <v>8</v>
      </c>
      <c r="K47" s="5">
        <f>SUM(K41:K46)</f>
        <v>2296.490065435542</v>
      </c>
      <c r="L47" s="6"/>
      <c r="M47" s="5"/>
      <c r="N47" s="6"/>
      <c r="O47" s="5"/>
      <c r="P47" s="5"/>
    </row>
    <row r="48" spans="1:16" s="3" customFormat="1" ht="15.75">
      <c r="A48" s="16" t="s">
        <v>26</v>
      </c>
      <c r="B48" s="10"/>
      <c r="C48" s="10"/>
      <c r="D48" s="10"/>
      <c r="E48" s="10"/>
      <c r="F48" s="10"/>
      <c r="G48" s="10"/>
      <c r="H48" s="10"/>
      <c r="I48" s="10"/>
      <c r="J48" s="10"/>
      <c r="K48" s="6"/>
      <c r="L48" s="6"/>
      <c r="M48" s="10"/>
      <c r="N48" s="6"/>
      <c r="O48" s="10"/>
      <c r="P48" s="10"/>
    </row>
    <row r="49" spans="1:16">
      <c r="A49" s="10"/>
      <c r="B49" s="10"/>
      <c r="C49" s="5"/>
      <c r="D49" s="77" t="s">
        <v>80</v>
      </c>
      <c r="E49" s="77"/>
      <c r="F49" s="5"/>
      <c r="G49" s="5" t="s">
        <v>81</v>
      </c>
      <c r="H49" s="5"/>
      <c r="I49" s="5"/>
      <c r="J49" s="5"/>
      <c r="K49" s="5"/>
      <c r="L49" s="5"/>
      <c r="M49" s="5"/>
      <c r="N49" s="6"/>
      <c r="O49" s="5"/>
      <c r="P49" s="5"/>
    </row>
    <row r="50" spans="1:16">
      <c r="A50" s="10" t="s">
        <v>27</v>
      </c>
      <c r="B50" s="10" t="s">
        <v>5</v>
      </c>
      <c r="C50" s="5" t="s">
        <v>28</v>
      </c>
      <c r="D50" s="5" t="s">
        <v>6</v>
      </c>
      <c r="E50" s="5" t="s">
        <v>6</v>
      </c>
      <c r="F50" s="5" t="s">
        <v>24</v>
      </c>
      <c r="G50" s="5" t="s">
        <v>82</v>
      </c>
      <c r="H50" s="5" t="s">
        <v>35</v>
      </c>
      <c r="I50" s="5" t="s">
        <v>36</v>
      </c>
      <c r="J50" s="5" t="s">
        <v>65</v>
      </c>
      <c r="K50" s="5" t="s">
        <v>7</v>
      </c>
      <c r="L50" s="5" t="s">
        <v>41</v>
      </c>
      <c r="M50" s="5"/>
      <c r="N50" s="6"/>
      <c r="O50" s="5"/>
      <c r="P50" s="5"/>
    </row>
    <row r="51" spans="1:16">
      <c r="A51" s="5"/>
      <c r="B51" s="5"/>
      <c r="C51" s="5" t="s">
        <v>29</v>
      </c>
      <c r="D51" s="5" t="s">
        <v>30</v>
      </c>
      <c r="E51" s="5" t="s">
        <v>30</v>
      </c>
      <c r="F51" s="5" t="s">
        <v>30</v>
      </c>
      <c r="G51" s="5" t="s">
        <v>83</v>
      </c>
      <c r="H51" s="5" t="s">
        <v>30</v>
      </c>
      <c r="I51" s="5"/>
      <c r="J51" s="5" t="s">
        <v>58</v>
      </c>
      <c r="K51" s="5" t="s">
        <v>30</v>
      </c>
      <c r="L51" s="5" t="s">
        <v>42</v>
      </c>
      <c r="M51" s="5"/>
      <c r="N51" s="5"/>
      <c r="O51" s="5"/>
      <c r="P51" s="5"/>
    </row>
    <row r="52" spans="1:16">
      <c r="A52" s="51">
        <f>A40</f>
        <v>38593</v>
      </c>
      <c r="B52" s="52">
        <f>B40</f>
        <v>0.41666666666666669</v>
      </c>
      <c r="C52" s="30">
        <f>C40</f>
        <v>0</v>
      </c>
      <c r="D52" s="42">
        <v>161.87852000000004</v>
      </c>
      <c r="E52" s="42">
        <v>152.84560000000005</v>
      </c>
      <c r="F52" s="18">
        <f t="shared" ref="F52:F58" si="7">AVERAGE(D52:E52)</f>
        <v>157.36206000000004</v>
      </c>
      <c r="G52" s="18">
        <f>(F52-F$52)</f>
        <v>0</v>
      </c>
      <c r="H52" s="5">
        <f t="shared" ref="H52:H58" si="8">STDEV(D52:E52)</f>
        <v>6.387238985915582</v>
      </c>
      <c r="I52" s="5">
        <f t="shared" ref="I52:I58" si="9">100*H52/F52</f>
        <v>4.0589446947476286</v>
      </c>
      <c r="J52" s="5">
        <f>(0.951*(E$26+(E$27-E$26)*C52/C$58)^0.729)*(1.009^E25)*(1.044^0)</f>
        <v>3.6556355349614393</v>
      </c>
      <c r="K52" s="18">
        <f t="shared" ref="K52:K58" si="10">$F$63*$F$66/($F$65/J52-$F$64)/J52*(EXP(-$F$64*C52)-EXP(-$F$65/J52*C52))</f>
        <v>0</v>
      </c>
      <c r="L52" s="5"/>
      <c r="M52" s="5"/>
      <c r="N52" s="5"/>
      <c r="O52" s="5"/>
      <c r="P52" s="5"/>
    </row>
    <row r="53" spans="1:16">
      <c r="A53" s="11">
        <v>38594</v>
      </c>
      <c r="B53" s="19">
        <v>0.51041666666666663</v>
      </c>
      <c r="C53" s="30">
        <f t="shared" ref="C53:C58" si="11">((A53-B$30)+(B53-B$31))</f>
        <v>1.09375</v>
      </c>
      <c r="D53" s="42">
        <v>230.66768000000008</v>
      </c>
      <c r="E53" s="42">
        <v>229.27800000000008</v>
      </c>
      <c r="F53" s="18">
        <f t="shared" si="7"/>
        <v>229.97284000000008</v>
      </c>
      <c r="G53" s="18">
        <f t="shared" ref="G53:G58" si="12">(F53-F$52)</f>
        <v>72.610780000000034</v>
      </c>
      <c r="H53" s="5">
        <f t="shared" si="8"/>
        <v>0.9826521516793203</v>
      </c>
      <c r="I53" s="5">
        <f t="shared" si="9"/>
        <v>0.42729052338498752</v>
      </c>
      <c r="J53" s="5">
        <f>(0.951*(E$26+(E$27-E$26)*C53/C$58)^0.729)*(1.009^E25)*(1.044^0)</f>
        <v>3.6694247825800175</v>
      </c>
      <c r="K53" s="18">
        <f t="shared" si="10"/>
        <v>73.015692352831252</v>
      </c>
      <c r="L53" s="5">
        <f>(K53-G53)^2</f>
        <v>0.16395401347531274</v>
      </c>
      <c r="M53" s="5"/>
      <c r="N53" s="5"/>
      <c r="O53" s="5"/>
      <c r="P53" s="5"/>
    </row>
    <row r="54" spans="1:16">
      <c r="A54" s="11">
        <v>38595</v>
      </c>
      <c r="B54" s="19">
        <v>0.36458333333333331</v>
      </c>
      <c r="C54" s="30">
        <f t="shared" si="11"/>
        <v>1.9479166666666665</v>
      </c>
      <c r="D54" s="42">
        <v>258.46128000000004</v>
      </c>
      <c r="E54" s="42">
        <v>258.1138600000001</v>
      </c>
      <c r="F54" s="18">
        <f t="shared" si="7"/>
        <v>258.28757000000007</v>
      </c>
      <c r="G54" s="18">
        <f t="shared" si="12"/>
        <v>100.92551000000003</v>
      </c>
      <c r="H54" s="5">
        <f t="shared" si="8"/>
        <v>0.24566303791978988</v>
      </c>
      <c r="I54" s="5">
        <f t="shared" si="9"/>
        <v>9.5112218493437303E-2</v>
      </c>
      <c r="J54" s="5">
        <f>(0.951*(E$26+(E$27-E$26)*C54/C$58)^0.729)*(1.009^E25)*(1.044^0)</f>
        <v>3.6801801446988307</v>
      </c>
      <c r="K54" s="18">
        <f t="shared" si="10"/>
        <v>107.70982052928403</v>
      </c>
      <c r="L54" s="5">
        <f t="shared" ref="L54:L58" si="13">(K54-G54)^2</f>
        <v>46.026869357753739</v>
      </c>
      <c r="M54" s="5"/>
      <c r="N54" s="5"/>
      <c r="O54" s="5"/>
      <c r="P54" s="5"/>
    </row>
    <row r="55" spans="1:16">
      <c r="A55" s="11">
        <v>38596</v>
      </c>
      <c r="B55" s="19">
        <v>0.44791666666666669</v>
      </c>
      <c r="C55" s="30">
        <f t="shared" si="11"/>
        <v>3.03125</v>
      </c>
      <c r="D55" s="42">
        <v>294.24553999999995</v>
      </c>
      <c r="E55" s="42">
        <v>295.63522000000006</v>
      </c>
      <c r="F55" s="18">
        <f t="shared" si="7"/>
        <v>294.94038</v>
      </c>
      <c r="G55" s="18">
        <f t="shared" si="12"/>
        <v>137.57831999999996</v>
      </c>
      <c r="H55" s="5">
        <f t="shared" si="8"/>
        <v>0.98265215167940068</v>
      </c>
      <c r="I55" s="5">
        <f t="shared" si="9"/>
        <v>0.3331697584709834</v>
      </c>
      <c r="J55" s="5">
        <f>(0.951*(E$26+(E$27-E$26)*C55/C$58)^0.729)*(1.009^E25)*(1.044^0)</f>
        <v>3.6938043097844782</v>
      </c>
      <c r="K55" s="18">
        <f t="shared" si="10"/>
        <v>132.25794915601827</v>
      </c>
      <c r="L55" s="5">
        <f t="shared" si="13"/>
        <v>28.306345917490464</v>
      </c>
      <c r="M55" s="5"/>
      <c r="N55" s="5"/>
      <c r="O55" s="5"/>
      <c r="P55" s="5"/>
    </row>
    <row r="56" spans="1:16">
      <c r="A56" s="11">
        <v>38597</v>
      </c>
      <c r="B56" s="19">
        <v>0.46875</v>
      </c>
      <c r="C56" s="30">
        <f t="shared" si="11"/>
        <v>4.052083333333333</v>
      </c>
      <c r="D56" s="42">
        <v>299.80426000000006</v>
      </c>
      <c r="E56" s="42">
        <v>300.84652</v>
      </c>
      <c r="F56" s="18">
        <f t="shared" si="7"/>
        <v>300.32539000000003</v>
      </c>
      <c r="G56" s="18">
        <f t="shared" si="12"/>
        <v>142.96332999999998</v>
      </c>
      <c r="H56" s="5">
        <f t="shared" si="8"/>
        <v>0.73698911375944998</v>
      </c>
      <c r="I56" s="5">
        <f t="shared" si="9"/>
        <v>0.24539687229223275</v>
      </c>
      <c r="J56" s="5">
        <f>(0.951*(E$26+(E$27-E$26)*C56/C$58)^0.729)*(1.009^E25)*(1.044^0)</f>
        <v>3.706625391612401</v>
      </c>
      <c r="K56" s="18">
        <f t="shared" si="10"/>
        <v>141.70925810372833</v>
      </c>
      <c r="L56" s="5">
        <f t="shared" si="13"/>
        <v>1.572696321018382</v>
      </c>
      <c r="M56" s="5"/>
      <c r="N56" s="5"/>
      <c r="O56" s="5"/>
      <c r="P56" s="5"/>
    </row>
    <row r="57" spans="1:16">
      <c r="A57" s="11">
        <v>38606</v>
      </c>
      <c r="B57" s="19">
        <v>0.44791666666666669</v>
      </c>
      <c r="C57" s="30">
        <f t="shared" si="11"/>
        <v>13.03125</v>
      </c>
      <c r="D57" s="42">
        <v>228.23574000000002</v>
      </c>
      <c r="E57" s="42">
        <v>227.19348000000008</v>
      </c>
      <c r="F57" s="18">
        <f t="shared" si="7"/>
        <v>227.71461000000005</v>
      </c>
      <c r="G57" s="18">
        <f t="shared" si="12"/>
        <v>70.352550000000008</v>
      </c>
      <c r="H57" s="5">
        <f t="shared" si="8"/>
        <v>0.73698911375944998</v>
      </c>
      <c r="I57" s="5">
        <f t="shared" si="9"/>
        <v>0.32364595041110883</v>
      </c>
      <c r="J57" s="5">
        <f>(0.951*(E$26+(E$27-E$26)*C57/C$58)^0.729)*(1.009^E25)*(1.044^0)</f>
        <v>3.8187000977400114</v>
      </c>
      <c r="K57" s="18">
        <f t="shared" si="10"/>
        <v>70.071714376405765</v>
      </c>
      <c r="L57" s="5">
        <f t="shared" si="13"/>
        <v>7.8868647479567136E-2</v>
      </c>
      <c r="M57" s="5"/>
      <c r="N57" s="5"/>
      <c r="O57" s="5"/>
      <c r="P57" s="5"/>
    </row>
    <row r="58" spans="1:16">
      <c r="A58" s="11">
        <v>38607</v>
      </c>
      <c r="B58" s="19">
        <v>0.42708333333333331</v>
      </c>
      <c r="C58" s="30">
        <f t="shared" si="11"/>
        <v>14.010416666666666</v>
      </c>
      <c r="D58" s="42">
        <v>218.16056000000009</v>
      </c>
      <c r="E58" s="42">
        <v>215.72862000000003</v>
      </c>
      <c r="F58" s="18">
        <f t="shared" si="7"/>
        <v>216.94459000000006</v>
      </c>
      <c r="G58" s="18">
        <f t="shared" si="12"/>
        <v>59.58253000000002</v>
      </c>
      <c r="H58" s="5">
        <f t="shared" si="8"/>
        <v>1.7196412654388507</v>
      </c>
      <c r="I58" s="5">
        <f t="shared" si="9"/>
        <v>0.79266381587982915</v>
      </c>
      <c r="J58" s="5">
        <f>(0.951*(E$26+(E$27-E$26)*C58/C$58)^0.729)*(1.009^E25)*(1.044^0)</f>
        <v>3.8308474390000611</v>
      </c>
      <c r="K58" s="18">
        <f t="shared" si="10"/>
        <v>61.853746782101382</v>
      </c>
      <c r="L58" s="5">
        <f t="shared" si="13"/>
        <v>5.1584256712988665</v>
      </c>
      <c r="M58" s="5"/>
      <c r="N58" s="5"/>
      <c r="O58" s="5"/>
      <c r="P58" s="5"/>
    </row>
    <row r="59" spans="1:16">
      <c r="A59" s="5"/>
      <c r="B59" s="5"/>
      <c r="C59" s="7"/>
      <c r="D59" s="7"/>
      <c r="E59" s="7"/>
      <c r="F59" s="7"/>
      <c r="G59" s="7"/>
      <c r="H59" s="7"/>
      <c r="I59" s="7"/>
      <c r="J59" s="7"/>
      <c r="K59" s="5" t="s">
        <v>8</v>
      </c>
      <c r="L59" s="5">
        <f>SUM(L53:L58)</f>
        <v>81.307159928516342</v>
      </c>
      <c r="M59" s="5"/>
      <c r="N59" s="5"/>
      <c r="O59" s="5"/>
      <c r="P59" s="5"/>
    </row>
    <row r="60" spans="1:16">
      <c r="A60" s="44"/>
      <c r="B60" s="43"/>
      <c r="C60" s="5"/>
      <c r="D60" s="5"/>
      <c r="E60" s="5"/>
      <c r="F60" s="5"/>
      <c r="G60" s="5"/>
      <c r="H60" s="5"/>
      <c r="I60" s="5"/>
      <c r="J60" s="7"/>
      <c r="K60" s="15"/>
      <c r="L60" s="15"/>
      <c r="M60" s="5"/>
      <c r="N60" s="5"/>
      <c r="O60" s="5"/>
      <c r="P60" s="5"/>
    </row>
    <row r="61" spans="1:16" ht="15">
      <c r="A61" s="9" t="s">
        <v>44</v>
      </c>
      <c r="B61" s="20" t="str">
        <f>B20</f>
        <v>Template</v>
      </c>
      <c r="C61" s="7"/>
      <c r="D61" s="7"/>
      <c r="E61" s="7"/>
      <c r="F61" s="7"/>
      <c r="G61" s="7"/>
      <c r="H61" s="7"/>
      <c r="I61" s="60"/>
      <c r="J61" s="61" t="s">
        <v>102</v>
      </c>
      <c r="K61" s="62">
        <f>100*K63/(K63+K66+K67)</f>
        <v>33.881462867871413</v>
      </c>
      <c r="L61" s="63" t="s">
        <v>76</v>
      </c>
      <c r="M61" s="50"/>
      <c r="N61" s="10"/>
      <c r="O61" s="10"/>
      <c r="P61" s="5"/>
    </row>
    <row r="62" spans="1:16" ht="15.75">
      <c r="A62" s="21" t="s">
        <v>34</v>
      </c>
      <c r="B62" s="15"/>
      <c r="C62" s="49" t="s">
        <v>94</v>
      </c>
      <c r="D62" s="10"/>
      <c r="E62" s="9" t="s">
        <v>9</v>
      </c>
      <c r="F62" s="10"/>
      <c r="G62" s="10"/>
      <c r="H62" s="5"/>
      <c r="I62" s="46"/>
      <c r="J62" s="5" t="s">
        <v>33</v>
      </c>
      <c r="K62" s="66">
        <f>F66/0.871</f>
        <v>0.36465690563891334</v>
      </c>
      <c r="L62" s="10" t="s">
        <v>39</v>
      </c>
      <c r="M62" s="67">
        <f>K62*1000</f>
        <v>364.65690563891332</v>
      </c>
      <c r="N62" s="10" t="s">
        <v>59</v>
      </c>
      <c r="O62" s="5"/>
      <c r="P62" s="5"/>
    </row>
    <row r="63" spans="1:16" ht="16.5">
      <c r="A63" s="10" t="s">
        <v>50</v>
      </c>
      <c r="B63" s="18">
        <f>((E30-E29)*B29/E29*(AVERAGE(D33:E33,D35:E35)-AVERAGE(D32:E32,D34:E34))/1000)/F63</f>
        <v>29.045654470050103</v>
      </c>
      <c r="C63" s="33" t="s">
        <v>95</v>
      </c>
      <c r="D63" s="37" t="s">
        <v>86</v>
      </c>
      <c r="E63" s="12" t="s">
        <v>38</v>
      </c>
      <c r="F63" s="36">
        <v>980.03422981702874</v>
      </c>
      <c r="G63" s="10" t="s">
        <v>97</v>
      </c>
      <c r="I63" s="47"/>
      <c r="J63" s="5" t="s">
        <v>19</v>
      </c>
      <c r="K63" s="23">
        <f>F66+0.09*K62</f>
        <v>0.35043528631899573</v>
      </c>
      <c r="L63" s="10" t="s">
        <v>39</v>
      </c>
      <c r="M63" s="5"/>
      <c r="N63" s="5"/>
      <c r="O63" s="5"/>
      <c r="P63" s="5"/>
    </row>
    <row r="64" spans="1:16" ht="15">
      <c r="A64" s="10" t="s">
        <v>51</v>
      </c>
      <c r="B64" s="18">
        <f>B63/1.041</f>
        <v>27.901685369884827</v>
      </c>
      <c r="C64" s="34">
        <f>B64/B$25*100</f>
        <v>51.139452657413543</v>
      </c>
      <c r="D64" s="37" t="s">
        <v>55</v>
      </c>
      <c r="E64" s="12" t="s">
        <v>10</v>
      </c>
      <c r="F64" s="36">
        <v>0.16304812826045512</v>
      </c>
      <c r="G64" s="10" t="s">
        <v>40</v>
      </c>
      <c r="I64" s="47"/>
      <c r="J64" s="5" t="s">
        <v>22</v>
      </c>
      <c r="K64" s="23">
        <f>(J58-J52)/C58</f>
        <v>1.2505831068927649E-2</v>
      </c>
      <c r="L64" s="10" t="s">
        <v>39</v>
      </c>
      <c r="M64" s="5"/>
      <c r="N64" s="5"/>
      <c r="O64" s="5"/>
      <c r="P64" s="5"/>
    </row>
    <row r="65" spans="1:17" ht="15">
      <c r="A65" s="10" t="s">
        <v>52</v>
      </c>
      <c r="B65" s="35">
        <f>B64/0.732</f>
        <v>38.117056516236104</v>
      </c>
      <c r="C65" s="34">
        <f>B65/B$25*100</f>
        <v>69.862640242368229</v>
      </c>
      <c r="D65" s="37" t="s">
        <v>84</v>
      </c>
      <c r="E65" s="12" t="s">
        <v>18</v>
      </c>
      <c r="F65" s="36">
        <v>1.0135156333507462</v>
      </c>
      <c r="G65" s="10" t="s">
        <v>40</v>
      </c>
      <c r="I65" s="47"/>
      <c r="J65" s="4" t="s">
        <v>20</v>
      </c>
      <c r="K65" s="23">
        <f>F65/0.9919</f>
        <v>1.0217921497638334</v>
      </c>
      <c r="L65" s="10" t="s">
        <v>39</v>
      </c>
      <c r="M65" s="5"/>
      <c r="N65" s="5"/>
      <c r="O65" s="5"/>
      <c r="P65" s="5"/>
    </row>
    <row r="66" spans="1:17" ht="15">
      <c r="A66" s="10" t="s">
        <v>53</v>
      </c>
      <c r="B66" s="35">
        <f>B25-B65</f>
        <v>16.442943483763898</v>
      </c>
      <c r="C66" s="34">
        <f>B66/B$25*100</f>
        <v>30.137359757631778</v>
      </c>
      <c r="D66" s="37" t="s">
        <v>85</v>
      </c>
      <c r="E66" s="12" t="s">
        <v>12</v>
      </c>
      <c r="F66" s="36">
        <v>0.31761616481149352</v>
      </c>
      <c r="G66" s="10" t="s">
        <v>39</v>
      </c>
      <c r="I66" s="47"/>
      <c r="J66" s="4" t="s">
        <v>37</v>
      </c>
      <c r="K66" s="23">
        <f>0.063*(K65+K64)</f>
        <v>6.5160772792463947E-2</v>
      </c>
      <c r="L66" s="10" t="s">
        <v>39</v>
      </c>
      <c r="M66" s="5"/>
      <c r="N66" s="5"/>
      <c r="O66" s="5"/>
      <c r="P66" s="5"/>
    </row>
    <row r="67" spans="1:17" ht="16.5" thickBot="1">
      <c r="A67" s="10" t="s">
        <v>54</v>
      </c>
      <c r="B67" s="35">
        <f>B66/B25*100</f>
        <v>30.137359757631778</v>
      </c>
      <c r="C67" s="10"/>
      <c r="D67" s="22"/>
      <c r="E67" s="12" t="s">
        <v>13</v>
      </c>
      <c r="F67" s="5">
        <f>F66/B63</f>
        <v>1.0935066556651276E-2</v>
      </c>
      <c r="G67" s="10" t="s">
        <v>40</v>
      </c>
      <c r="I67" s="47"/>
      <c r="J67" s="5" t="s">
        <v>21</v>
      </c>
      <c r="K67" s="66">
        <f>K65-K63-K66+K64</f>
        <v>0.61870192172130145</v>
      </c>
      <c r="L67" s="10" t="s">
        <v>39</v>
      </c>
      <c r="M67" s="67">
        <f>K67*1000</f>
        <v>618.70192172130146</v>
      </c>
      <c r="N67" s="10" t="s">
        <v>59</v>
      </c>
      <c r="O67" s="62">
        <f>100*K67/(K63+K67+K66)</f>
        <v>59.818537132128597</v>
      </c>
      <c r="P67" s="64" t="s">
        <v>77</v>
      </c>
      <c r="Q67" s="65"/>
    </row>
    <row r="68" spans="1:17" ht="16.5" thickTop="1" thickBot="1">
      <c r="A68" s="10" t="s">
        <v>98</v>
      </c>
      <c r="B68" s="18">
        <f>B25/(B26/100)^2</f>
        <v>23.307274979708659</v>
      </c>
      <c r="C68" s="10"/>
      <c r="D68" s="37"/>
      <c r="E68" s="22"/>
      <c r="F68" s="7"/>
      <c r="G68" s="7"/>
      <c r="H68" s="7"/>
      <c r="I68" s="48"/>
      <c r="J68" s="5" t="s">
        <v>43</v>
      </c>
      <c r="K68" s="24">
        <f>SQRT(K47+L59)</f>
        <v>48.762662205462675</v>
      </c>
      <c r="L68" s="10" t="s">
        <v>11</v>
      </c>
      <c r="P68" s="5"/>
    </row>
    <row r="69" spans="1:17" ht="15" thickTop="1">
      <c r="A69" s="15" t="s">
        <v>99</v>
      </c>
      <c r="B69" s="18">
        <f>B65/(B26/100)^2</f>
        <v>16.283077669373363</v>
      </c>
      <c r="C69" s="4"/>
      <c r="D69" s="37"/>
      <c r="E69" s="7"/>
      <c r="F69" s="7"/>
      <c r="G69" s="7"/>
      <c r="H69" s="7"/>
      <c r="I69" s="7"/>
      <c r="J69" s="5"/>
      <c r="K69" s="5"/>
      <c r="L69" s="5"/>
      <c r="M69" s="5"/>
      <c r="N69" s="5"/>
      <c r="O69" s="5"/>
      <c r="P69" s="5"/>
    </row>
    <row r="70" spans="1:17" ht="14.25">
      <c r="A70" s="15" t="s">
        <v>100</v>
      </c>
      <c r="B70" s="18">
        <f>B66/(B26/100)^2</f>
        <v>7.0241973103352979</v>
      </c>
      <c r="C70" s="4"/>
      <c r="D70" s="37"/>
      <c r="E70" s="7"/>
      <c r="F70" s="7"/>
      <c r="G70" s="7"/>
      <c r="H70" s="7"/>
      <c r="I70" s="7"/>
      <c r="J70" s="5"/>
      <c r="K70" s="5"/>
      <c r="L70" s="5"/>
      <c r="M70" s="5"/>
      <c r="N70" s="5"/>
      <c r="O70" s="5"/>
      <c r="P70" s="5"/>
    </row>
    <row r="71" spans="1:17">
      <c r="A71" s="15" t="s">
        <v>78</v>
      </c>
      <c r="B71" s="5">
        <f>B66/B65</f>
        <v>0.43138020053463372</v>
      </c>
      <c r="C71" s="4"/>
      <c r="D71" s="5"/>
      <c r="E71" s="7"/>
      <c r="F71" s="7"/>
      <c r="G71" s="7"/>
      <c r="H71" s="7"/>
      <c r="I71" s="7"/>
      <c r="J71" s="4"/>
      <c r="K71" s="4"/>
      <c r="L71" s="4"/>
      <c r="M71" s="5"/>
      <c r="N71" s="5"/>
      <c r="O71" s="5"/>
      <c r="P71" s="5"/>
    </row>
    <row r="72" spans="1:17" ht="14.25">
      <c r="A72" s="10" t="s">
        <v>101</v>
      </c>
      <c r="B72" s="1">
        <f>B63*F64</f>
        <v>4.7358395954415906</v>
      </c>
      <c r="C72" s="4"/>
      <c r="D72" s="5"/>
      <c r="E72" s="7"/>
      <c r="F72" s="7"/>
      <c r="G72" s="7"/>
      <c r="H72" s="7"/>
      <c r="I72" s="7"/>
      <c r="J72" s="4"/>
      <c r="K72" s="4"/>
      <c r="L72" s="4"/>
      <c r="M72" s="5"/>
      <c r="N72" s="5"/>
      <c r="O72" s="5"/>
      <c r="P72" s="5"/>
    </row>
    <row r="73" spans="1:17">
      <c r="A73" s="4"/>
      <c r="B73" s="4"/>
      <c r="C73" s="4"/>
      <c r="D73" s="4"/>
      <c r="E73" s="4"/>
      <c r="F73" s="4"/>
      <c r="G73" s="4"/>
      <c r="H73" s="4"/>
      <c r="I73" s="4"/>
      <c r="J73" s="5"/>
      <c r="K73" s="5"/>
      <c r="L73" s="4"/>
      <c r="M73" s="5"/>
      <c r="N73" s="5"/>
      <c r="O73" s="5"/>
      <c r="P73" s="5"/>
    </row>
    <row r="74" spans="1:17">
      <c r="A74" s="4"/>
      <c r="B74" s="4"/>
      <c r="C74" s="4"/>
      <c r="D74" s="4"/>
      <c r="E74" s="4"/>
      <c r="F74" s="4"/>
      <c r="G74" s="4"/>
      <c r="H74" s="4"/>
      <c r="I74" s="4"/>
      <c r="J74" s="5"/>
      <c r="K74" s="5"/>
      <c r="L74" s="4"/>
      <c r="M74" s="5"/>
      <c r="N74" s="5"/>
      <c r="O74" s="5"/>
      <c r="P74" s="5"/>
    </row>
    <row r="75" spans="1:17">
      <c r="A75" s="4"/>
      <c r="B75" s="4"/>
      <c r="C75" s="4"/>
      <c r="D75" s="4"/>
      <c r="E75" s="4"/>
      <c r="F75" s="4"/>
      <c r="G75" s="4"/>
      <c r="H75" s="4"/>
      <c r="I75" s="4"/>
      <c r="J75" s="6"/>
      <c r="K75" s="6"/>
      <c r="L75" s="4"/>
      <c r="M75" s="5"/>
      <c r="N75" s="5"/>
      <c r="O75" s="5"/>
      <c r="P75" s="5"/>
    </row>
    <row r="76" spans="1:17">
      <c r="A76" s="4"/>
      <c r="B76" s="4"/>
      <c r="C76" s="4"/>
      <c r="D76" s="4"/>
      <c r="E76" s="4"/>
      <c r="F76" s="4"/>
      <c r="G76" s="4"/>
      <c r="H76" s="4"/>
      <c r="I76" s="4"/>
      <c r="J76" s="5"/>
      <c r="K76" s="5"/>
      <c r="L76" s="4"/>
      <c r="M76" s="5"/>
      <c r="N76" s="5"/>
      <c r="O76" s="5"/>
      <c r="P76" s="5"/>
    </row>
    <row r="77" spans="1:17">
      <c r="A77" s="4"/>
      <c r="B77" s="4"/>
      <c r="C77" s="4"/>
      <c r="D77" s="4"/>
      <c r="E77" s="4"/>
      <c r="F77" s="4"/>
      <c r="G77" s="4"/>
      <c r="H77" s="4"/>
      <c r="I77" s="4"/>
      <c r="J77" s="5"/>
      <c r="K77" s="6"/>
      <c r="L77" s="4"/>
      <c r="M77" s="5"/>
      <c r="N77" s="5"/>
      <c r="O77" s="5"/>
      <c r="P77" s="5"/>
    </row>
    <row r="78" spans="1:17">
      <c r="A78" s="4"/>
      <c r="B78" s="4"/>
      <c r="C78" s="4"/>
      <c r="D78" s="4"/>
      <c r="E78" s="4"/>
      <c r="F78" s="4"/>
      <c r="G78" s="4"/>
      <c r="H78" s="4"/>
      <c r="I78" s="4"/>
      <c r="J78" s="5"/>
      <c r="K78" s="5"/>
      <c r="L78" s="4"/>
      <c r="M78" s="5"/>
      <c r="N78" s="5"/>
      <c r="O78" s="5"/>
      <c r="P78" s="5"/>
    </row>
    <row r="79" spans="1:17">
      <c r="A79" s="4"/>
      <c r="B79" s="4"/>
      <c r="C79" s="4"/>
      <c r="D79" s="4"/>
      <c r="E79" s="4"/>
      <c r="F79" s="4"/>
      <c r="G79" s="4"/>
      <c r="H79" s="4"/>
      <c r="I79" s="4"/>
      <c r="J79" s="5"/>
      <c r="K79" s="5"/>
      <c r="L79" s="4"/>
      <c r="M79" s="5"/>
      <c r="N79" s="5"/>
      <c r="O79" s="5"/>
      <c r="P79" s="5"/>
    </row>
    <row r="80" spans="1:17">
      <c r="A80" s="4"/>
      <c r="B80" s="4"/>
      <c r="C80" s="4"/>
      <c r="D80" s="4"/>
      <c r="E80" s="4"/>
      <c r="F80" s="4"/>
      <c r="G80" s="4"/>
      <c r="H80" s="4"/>
      <c r="I80" s="4"/>
      <c r="J80" s="5"/>
      <c r="K80" s="5"/>
      <c r="L80" s="5"/>
      <c r="M80" s="5"/>
      <c r="N80" s="5"/>
      <c r="O80" s="5"/>
      <c r="P80" s="5"/>
    </row>
    <row r="81" spans="1:16">
      <c r="A81" s="5"/>
      <c r="B81" s="5"/>
      <c r="C81" s="5"/>
      <c r="D81" s="5"/>
      <c r="E81" s="5"/>
      <c r="F81" s="5"/>
      <c r="G81" s="5"/>
      <c r="H81" s="5"/>
      <c r="I81" s="5"/>
      <c r="J81" s="6"/>
      <c r="K81" s="6"/>
      <c r="L81" s="6"/>
      <c r="M81" s="5"/>
      <c r="N81" s="5"/>
      <c r="O81" s="5"/>
      <c r="P81" s="5"/>
    </row>
    <row r="82" spans="1:16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</row>
    <row r="83" spans="1:16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</row>
    <row r="84" spans="1:16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</row>
    <row r="85" spans="1:16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</row>
    <row r="86" spans="1:1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</row>
    <row r="87" spans="1:16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</row>
    <row r="88" spans="1:16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</row>
    <row r="89" spans="1:16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</row>
    <row r="90" spans="1:16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</row>
    <row r="91" spans="1:16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</row>
    <row r="92" spans="1:16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</row>
    <row r="93" spans="1:16">
      <c r="A93" s="5" t="s">
        <v>79</v>
      </c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</row>
    <row r="94" spans="1:16">
      <c r="A94" s="5" t="s">
        <v>14</v>
      </c>
      <c r="B94" s="5" t="s">
        <v>15</v>
      </c>
      <c r="C94" s="5" t="s">
        <v>16</v>
      </c>
      <c r="D94" s="5" t="s">
        <v>17</v>
      </c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</row>
    <row r="95" spans="1:16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</row>
    <row r="96" spans="1:16">
      <c r="A96" s="5">
        <v>0</v>
      </c>
      <c r="B96" s="5">
        <f t="shared" ref="B96:B159" si="14">F$63*EXP(-F$64*A96)</f>
        <v>980.03422981702874</v>
      </c>
      <c r="C96" s="5">
        <f>(0.951*(E$26+(E$27-E$26)*A96/C$58)^0.729)*(1.009^E25)*(1.044^0)</f>
        <v>3.6556355349614393</v>
      </c>
      <c r="D96" s="5">
        <f t="shared" ref="D96:D159" si="15">$F$63*$F$66/($F$65/C96-$F$64)/C96*(EXP(-$F$64*A96)-EXP(-$F$65/C96*A96))</f>
        <v>0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</row>
    <row r="97" spans="1:16">
      <c r="A97" s="5">
        <f t="shared" ref="A97:A160" si="16">A96+0.1</f>
        <v>0.1</v>
      </c>
      <c r="B97" s="5">
        <f t="shared" si="14"/>
        <v>964.18451954788793</v>
      </c>
      <c r="C97" s="5">
        <f>(0.951*(E$26+(E$27-E$26)*A97/C$58)^0.729)*(1.009^E25)*(1.044^0)</f>
        <v>3.6568970684806548</v>
      </c>
      <c r="D97" s="5">
        <f t="shared" si="15"/>
        <v>8.3267330469985819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</row>
    <row r="98" spans="1:16">
      <c r="A98" s="5">
        <f t="shared" si="16"/>
        <v>0.2</v>
      </c>
      <c r="B98" s="5">
        <f t="shared" si="14"/>
        <v>948.5911404434886</v>
      </c>
      <c r="C98" s="5">
        <f>(0.951*(E$26+(E$27-E$26)*A98/C$58)^0.729)*(1.009^E25)*(1.044^0)</f>
        <v>3.6581584402399447</v>
      </c>
      <c r="D98" s="5">
        <f t="shared" si="15"/>
        <v>16.285730522837738</v>
      </c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</row>
    <row r="99" spans="1:16">
      <c r="A99" s="5">
        <f t="shared" si="16"/>
        <v>0.30000000000000004</v>
      </c>
      <c r="B99" s="5">
        <f t="shared" si="14"/>
        <v>933.24994696016495</v>
      </c>
      <c r="C99" s="5">
        <f>(0.951*(E$26+(E$27-E$26)*A99/C$58)^0.729)*(1.009^E25)*(1.044^0)</f>
        <v>3.6594196503365422</v>
      </c>
      <c r="D99" s="5">
        <f t="shared" si="15"/>
        <v>23.889661659502398</v>
      </c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</row>
    <row r="100" spans="1:16">
      <c r="A100" s="5">
        <f t="shared" si="16"/>
        <v>0.4</v>
      </c>
      <c r="B100" s="5">
        <f t="shared" si="14"/>
        <v>918.15686059850657</v>
      </c>
      <c r="C100" s="5">
        <f>(0.951*(E$26+(E$27-E$26)*A100/C$58)^0.729)*(1.009^E25)*(1.044^0)</f>
        <v>3.660680698867576</v>
      </c>
      <c r="D100" s="5">
        <f t="shared" si="15"/>
        <v>31.150791860096572</v>
      </c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</row>
    <row r="101" spans="1:16">
      <c r="A101" s="5">
        <f t="shared" si="16"/>
        <v>0.5</v>
      </c>
      <c r="B101" s="5">
        <f t="shared" si="14"/>
        <v>903.30786881907943</v>
      </c>
      <c r="C101" s="5">
        <f>(0.951*(E$26+(E$27-E$26)*A101/C$58)^0.729)*(1.009^E25)*(1.044^0)</f>
        <v>3.6619415859300704</v>
      </c>
      <c r="D101" s="5">
        <f t="shared" si="15"/>
        <v>38.080995255054006</v>
      </c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</row>
    <row r="102" spans="1:16">
      <c r="A102" s="5">
        <f t="shared" si="16"/>
        <v>0.6</v>
      </c>
      <c r="B102" s="5">
        <f t="shared" si="14"/>
        <v>888.69902397567989</v>
      </c>
      <c r="C102" s="5">
        <f>(0.951*(E$26+(E$27-E$26)*A102/C$58)^0.729)*(1.009^E25)*(1.044^0)</f>
        <v>3.6632023116209469</v>
      </c>
      <c r="D102" s="5">
        <f t="shared" si="15"/>
        <v>44.691766868833277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</row>
    <row r="103" spans="1:16">
      <c r="A103" s="5">
        <f t="shared" si="16"/>
        <v>0.7</v>
      </c>
      <c r="B103" s="5">
        <f t="shared" si="14"/>
        <v>874.3264422658425</v>
      </c>
      <c r="C103" s="5">
        <f>(0.951*(E$26+(E$27-E$26)*A103/C$58)^0.729)*(1.009^E25)*(1.044^0)</f>
        <v>3.6644628760370201</v>
      </c>
      <c r="D103" s="5">
        <f t="shared" si="15"/>
        <v>50.994234409285255</v>
      </c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</row>
    <row r="104" spans="1:16">
      <c r="A104" s="5">
        <f t="shared" si="16"/>
        <v>0.79999999999999993</v>
      </c>
      <c r="B104" s="5">
        <f t="shared" si="14"/>
        <v>860.18630269831988</v>
      </c>
      <c r="C104" s="5">
        <f>(0.951*(E$26+(E$27-E$26)*A104/C$58)^0.729)*(1.009^E25)*(1.044^0)</f>
        <v>3.6657232792750034</v>
      </c>
      <c r="D104" s="5">
        <f t="shared" si="15"/>
        <v>56.99916969149573</v>
      </c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</row>
    <row r="105" spans="1:16">
      <c r="A105" s="5">
        <f t="shared" si="16"/>
        <v>0.89999999999999991</v>
      </c>
      <c r="B105" s="5">
        <f t="shared" si="14"/>
        <v>846.2748460772616</v>
      </c>
      <c r="C105" s="5">
        <f>(0.951*(E$26+(E$27-E$26)*A105/C$58)^0.729)*(1.009^E25)*(1.044^0)</f>
        <v>3.666983521431507</v>
      </c>
      <c r="D105" s="5">
        <f t="shared" si="15"/>
        <v>62.716999707526981</v>
      </c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</row>
    <row r="106" spans="1:16">
      <c r="A106" s="5">
        <f t="shared" si="16"/>
        <v>0.99999999999999989</v>
      </c>
      <c r="B106" s="5">
        <f t="shared" si="14"/>
        <v>832.58837400282118</v>
      </c>
      <c r="C106" s="5">
        <f>(0.951*(E$26+(E$27-E$26)*A106/C$58)^0.729)*(1.009^E25)*(1.044^0)</f>
        <v>3.6682436026030354</v>
      </c>
      <c r="D106" s="5">
        <f t="shared" si="15"/>
        <v>68.157817353124486</v>
      </c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</row>
    <row r="107" spans="1:16">
      <c r="A107" s="5">
        <f t="shared" si="16"/>
        <v>1.0999999999999999</v>
      </c>
      <c r="B107" s="5">
        <f t="shared" si="14"/>
        <v>819.12324788792682</v>
      </c>
      <c r="C107" s="5">
        <f>(0.951*(E$26+(E$27-E$26)*A107/C$58)^0.729)*(1.009^E25)*(1.044^0)</f>
        <v>3.6695035228859929</v>
      </c>
      <c r="D107" s="5">
        <f t="shared" si="15"/>
        <v>73.331391822102816</v>
      </c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</row>
    <row r="108" spans="1:16">
      <c r="A108" s="5">
        <f t="shared" si="16"/>
        <v>1.2</v>
      </c>
      <c r="B108" s="5">
        <f t="shared" si="14"/>
        <v>805.87588799095124</v>
      </c>
      <c r="C108" s="5">
        <f>(0.951*(E$26+(E$27-E$26)*A108/C$58)^0.729)*(1.009^E25)*(1.044^0)</f>
        <v>3.6707632823766763</v>
      </c>
      <c r="D108" s="5">
        <f t="shared" si="15"/>
        <v>78.247178678784024</v>
      </c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</row>
    <row r="109" spans="1:16">
      <c r="A109" s="5">
        <f t="shared" si="16"/>
        <v>1.3</v>
      </c>
      <c r="B109" s="5">
        <f t="shared" si="14"/>
        <v>792.84277246402951</v>
      </c>
      <c r="C109" s="5">
        <f>(0.951*(E$26+(E$27-E$26)*A109/C$58)^0.729)*(1.009^E25)*(1.044^0)</f>
        <v>3.6720228811712841</v>
      </c>
      <c r="D109" s="5">
        <f t="shared" si="15"/>
        <v>82.914329618536229</v>
      </c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</row>
    <row r="110" spans="1:16">
      <c r="A110" s="5">
        <f t="shared" si="16"/>
        <v>1.4000000000000001</v>
      </c>
      <c r="B110" s="5">
        <f t="shared" si="14"/>
        <v>780.02043641676369</v>
      </c>
      <c r="C110" s="5">
        <f>(0.951*(E$26+(E$27-E$26)*A110/C$58)^0.729)*(1.009^E25)*(1.044^0)</f>
        <v>3.6732823193659088</v>
      </c>
      <c r="D110" s="5">
        <f t="shared" si="15"/>
        <v>87.341701926140345</v>
      </c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</row>
    <row r="111" spans="1:16">
      <c r="A111" s="5">
        <f t="shared" si="16"/>
        <v>1.5000000000000002</v>
      </c>
      <c r="B111" s="5">
        <f t="shared" si="14"/>
        <v>767.40547099507353</v>
      </c>
      <c r="C111" s="5">
        <f>(0.951*(E$26+(E$27-E$26)*A111/C$58)^0.729)*(1.009^E25)*(1.044^0)</f>
        <v>3.674541597056542</v>
      </c>
      <c r="D111" s="5">
        <f t="shared" si="15"/>
        <v>91.537867641406592</v>
      </c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</row>
    <row r="112" spans="1:16">
      <c r="A112" s="5">
        <f t="shared" si="16"/>
        <v>1.6000000000000003</v>
      </c>
      <c r="B112" s="5">
        <f t="shared" si="14"/>
        <v>754.9945224749423</v>
      </c>
      <c r="C112" s="5">
        <f>(0.951*(E$26+(E$27-E$26)*A112/C$58)^0.729)*(1.009^E25)*(1.044^0)</f>
        <v>3.6758007143390725</v>
      </c>
      <c r="D112" s="5">
        <f t="shared" si="15"/>
        <v>95.511122441163664</v>
      </c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</row>
    <row r="113" spans="1:16">
      <c r="A113" s="5">
        <f t="shared" si="16"/>
        <v>1.7000000000000004</v>
      </c>
      <c r="B113" s="5">
        <f t="shared" si="14"/>
        <v>742.78429137082026</v>
      </c>
      <c r="C113" s="5">
        <f>(0.951*(E$26+(E$27-E$26)*A113/C$58)^0.729)*(1.009^E25)*(1.044^0)</f>
        <v>3.6770596713092862</v>
      </c>
      <c r="D113" s="5">
        <f t="shared" si="15"/>
        <v>99.269494246456048</v>
      </c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</row>
    <row r="114" spans="1:16">
      <c r="A114" s="5">
        <f t="shared" si="16"/>
        <v>1.8000000000000005</v>
      </c>
      <c r="B114" s="5">
        <f t="shared" si="14"/>
        <v>730.77153155844655</v>
      </c>
      <c r="C114" s="5">
        <f>(0.951*(E$26+(E$27-E$26)*A114/C$58)^0.729)*(1.009^E25)*(1.044^0)</f>
        <v>3.678318468062868</v>
      </c>
      <c r="D114" s="5">
        <f t="shared" si="15"/>
        <v>102.82075156350706</v>
      </c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</row>
    <row r="115" spans="1:16">
      <c r="A115" s="5">
        <f t="shared" si="16"/>
        <v>1.9000000000000006</v>
      </c>
      <c r="B115" s="5">
        <f t="shared" si="14"/>
        <v>718.9530494118585</v>
      </c>
      <c r="C115" s="5">
        <f>(0.951*(E$26+(E$27-E$26)*A115/C$58)^0.729)*(1.009^E25)*(1.044^0)</f>
        <v>3.6795771046953978</v>
      </c>
      <c r="D115" s="5">
        <f t="shared" si="15"/>
        <v>106.17241156673236</v>
      </c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</row>
    <row r="116" spans="1:16">
      <c r="A116" s="5">
        <f t="shared" si="16"/>
        <v>2.0000000000000004</v>
      </c>
      <c r="B116" s="5">
        <f t="shared" si="14"/>
        <v>707.3257029543571</v>
      </c>
      <c r="C116" s="5">
        <f>(0.951*(E$26+(E$27-E$26)*A116/C$58)^0.729)*(1.009^E25)*(1.044^0)</f>
        <v>3.6808355813023583</v>
      </c>
      <c r="D116" s="5">
        <f t="shared" si="15"/>
        <v>109.33174793183147</v>
      </c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</row>
    <row r="117" spans="1:16">
      <c r="A117" s="5">
        <f t="shared" si="16"/>
        <v>2.1000000000000005</v>
      </c>
      <c r="B117" s="5">
        <f t="shared" si="14"/>
        <v>695.88640102320301</v>
      </c>
      <c r="C117" s="5">
        <f>(0.951*(E$26+(E$27-E$26)*A117/C$58)^0.729)*(1.009^E25)*(1.044^0)</f>
        <v>3.682093897979128</v>
      </c>
      <c r="D117" s="5">
        <f t="shared" si="15"/>
        <v>112.30579842672768</v>
      </c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</row>
    <row r="118" spans="1:16">
      <c r="A118" s="5">
        <f t="shared" si="16"/>
        <v>2.2000000000000006</v>
      </c>
      <c r="B118" s="5">
        <f t="shared" si="14"/>
        <v>684.63210244782351</v>
      </c>
      <c r="C118" s="5">
        <f>(0.951*(E$26+(E$27-E$26)*A118/C$58)^0.729)*(1.009^E25)*(1.044^0)</f>
        <v>3.683352054820983</v>
      </c>
      <c r="D118" s="5">
        <f t="shared" si="15"/>
        <v>115.10137226788652</v>
      </c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</row>
    <row r="119" spans="1:16">
      <c r="A119" s="5">
        <f t="shared" si="16"/>
        <v>2.3000000000000007</v>
      </c>
      <c r="B119" s="5">
        <f t="shared" si="14"/>
        <v>673.55981524130755</v>
      </c>
      <c r="C119" s="5">
        <f>(0.951*(E$26+(E$27-E$26)*A119/C$58)^0.729)*(1.009^E25)*(1.044^0)</f>
        <v>3.684610051923098</v>
      </c>
      <c r="D119" s="5">
        <f t="shared" si="15"/>
        <v>117.72505724930105</v>
      </c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</row>
    <row r="120" spans="1:16">
      <c r="A120" s="5">
        <f t="shared" si="16"/>
        <v>2.4000000000000008</v>
      </c>
      <c r="B120" s="5">
        <f t="shared" si="14"/>
        <v>662.66659580497833</v>
      </c>
      <c r="C120" s="5">
        <f>(0.951*(E$26+(E$27-E$26)*A120/C$58)^0.729)*(1.009^E25)*(1.044^0)</f>
        <v>3.6858678893805492</v>
      </c>
      <c r="D120" s="5">
        <f t="shared" si="15"/>
        <v>120.18322665120739</v>
      </c>
      <c r="E120" s="4"/>
      <c r="F120" s="5"/>
      <c r="G120" s="5"/>
      <c r="H120" s="5"/>
      <c r="I120" s="5"/>
      <c r="J120" s="4"/>
      <c r="K120" s="4"/>
      <c r="L120" s="4"/>
      <c r="M120" s="5"/>
      <c r="N120" s="5"/>
      <c r="O120" s="5"/>
      <c r="P120" s="5"/>
    </row>
    <row r="121" spans="1:16">
      <c r="A121" s="5">
        <f t="shared" si="16"/>
        <v>2.5000000000000009</v>
      </c>
      <c r="B121" s="5">
        <f t="shared" si="14"/>
        <v>651.949548145829</v>
      </c>
      <c r="C121" s="5">
        <f>(0.951*(E$26+(E$27-E$26)*A121/C$58)^0.729)*(1.009^E25)*(1.044^0)</f>
        <v>3.6871255672883092</v>
      </c>
      <c r="D121" s="5">
        <f t="shared" si="15"/>
        <v>122.48204593536886</v>
      </c>
      <c r="E121" s="4"/>
      <c r="F121" s="5"/>
      <c r="G121" s="5"/>
      <c r="H121" s="5"/>
      <c r="I121" s="4"/>
      <c r="J121" s="4"/>
      <c r="K121" s="4"/>
      <c r="L121" s="4"/>
      <c r="M121" s="5"/>
      <c r="N121" s="5"/>
      <c r="O121" s="5"/>
      <c r="P121" s="5"/>
    </row>
    <row r="122" spans="1:16">
      <c r="A122" s="5">
        <f t="shared" si="16"/>
        <v>2.600000000000001</v>
      </c>
      <c r="B122" s="5">
        <f t="shared" si="14"/>
        <v>641.40582310661489</v>
      </c>
      <c r="C122" s="5">
        <f>(0.951*(E$26+(E$27-E$26)*A122/C$58)^0.729)*(1.009^E25)*(1.044^0)</f>
        <v>3.6883830857412518</v>
      </c>
      <c r="D122" s="5">
        <f t="shared" si="15"/>
        <v>124.62747923355363</v>
      </c>
      <c r="E122" s="4"/>
      <c r="F122" s="5"/>
      <c r="G122" s="5"/>
      <c r="H122" s="5"/>
      <c r="I122" s="4"/>
      <c r="J122" s="4"/>
      <c r="K122" s="4"/>
      <c r="L122" s="4"/>
      <c r="M122" s="5"/>
      <c r="N122" s="5"/>
      <c r="O122" s="5"/>
      <c r="P122" s="5"/>
    </row>
    <row r="123" spans="1:16">
      <c r="A123" s="5">
        <f t="shared" si="16"/>
        <v>2.7000000000000011</v>
      </c>
      <c r="B123" s="5">
        <f t="shared" si="14"/>
        <v>631.03261760839712</v>
      </c>
      <c r="C123" s="5">
        <f>(0.951*(E$26+(E$27-E$26)*A123/C$58)^0.729)*(1.009^E25)*(1.044^0)</f>
        <v>3.6896404448341467</v>
      </c>
      <c r="D123" s="5">
        <f t="shared" si="15"/>
        <v>126.62529563562201</v>
      </c>
      <c r="E123" s="4"/>
      <c r="F123" s="5"/>
      <c r="G123" s="5"/>
      <c r="H123" s="5"/>
      <c r="I123" s="4"/>
      <c r="J123" s="4"/>
      <c r="K123" s="4"/>
      <c r="L123" s="4"/>
      <c r="M123" s="5"/>
      <c r="N123" s="5"/>
      <c r="O123" s="5"/>
      <c r="P123" s="5"/>
    </row>
    <row r="124" spans="1:16">
      <c r="A124" s="5">
        <f t="shared" si="16"/>
        <v>2.8000000000000012</v>
      </c>
      <c r="B124" s="5">
        <f t="shared" si="14"/>
        <v>620.82717390533583</v>
      </c>
      <c r="C124" s="5">
        <f>(0.951*(E$26+(E$27-E$26)*A124/C$58)^0.729)*(1.009^E25)*(1.044^0)</f>
        <v>3.6908976446616673</v>
      </c>
      <c r="D124" s="5">
        <f t="shared" si="15"/>
        <v>128.48107528343806</v>
      </c>
      <c r="E124" s="4"/>
      <c r="F124" s="5"/>
      <c r="G124" s="5"/>
      <c r="H124" s="5"/>
      <c r="I124" s="4"/>
      <c r="J124" s="4"/>
      <c r="K124" s="4"/>
      <c r="L124" s="4"/>
      <c r="M124" s="5"/>
      <c r="N124" s="5"/>
      <c r="O124" s="5"/>
      <c r="P124" s="5"/>
    </row>
    <row r="125" spans="1:16">
      <c r="A125" s="5">
        <f t="shared" si="16"/>
        <v>2.9000000000000012</v>
      </c>
      <c r="B125" s="5">
        <f t="shared" si="14"/>
        <v>610.78677885153627</v>
      </c>
      <c r="C125" s="5">
        <f>(0.951*(E$26+(E$27-E$26)*A125/C$58)^0.729)*(1.009^E25)*(1.044^0)</f>
        <v>3.6921546853183824</v>
      </c>
      <c r="D125" s="5">
        <f t="shared" si="15"/>
        <v>130.20021527662672</v>
      </c>
      <c r="E125" s="4"/>
      <c r="F125" s="5"/>
      <c r="G125" s="5"/>
      <c r="H125" s="5"/>
      <c r="I125" s="4"/>
      <c r="J125" s="4"/>
      <c r="K125" s="4"/>
      <c r="L125" s="4"/>
      <c r="M125" s="5"/>
      <c r="N125" s="5"/>
      <c r="O125" s="5"/>
      <c r="P125" s="5"/>
    </row>
    <row r="126" spans="1:16">
      <c r="A126" s="5">
        <f t="shared" si="16"/>
        <v>3.0000000000000013</v>
      </c>
      <c r="B126" s="5">
        <f t="shared" si="14"/>
        <v>600.90876317975096</v>
      </c>
      <c r="C126" s="5">
        <f>(0.951*(E$26+(E$27-E$26)*A126/C$58)^0.729)*(1.009^E25)*(1.044^0)</f>
        <v>3.6934115668987637</v>
      </c>
      <c r="D126" s="5">
        <f t="shared" si="15"/>
        <v>131.78793539600505</v>
      </c>
      <c r="E126" s="4"/>
      <c r="F126" s="5"/>
      <c r="G126" s="5"/>
      <c r="H126" s="5"/>
      <c r="I126" s="4"/>
      <c r="J126" s="4"/>
      <c r="K126" s="4"/>
      <c r="L126" s="4"/>
      <c r="M126" s="5"/>
      <c r="N126" s="5"/>
      <c r="O126" s="5"/>
      <c r="P126" s="5"/>
    </row>
    <row r="127" spans="1:16">
      <c r="A127" s="5">
        <f t="shared" si="16"/>
        <v>3.1000000000000014</v>
      </c>
      <c r="B127" s="5">
        <f t="shared" si="14"/>
        <v>591.19050079174735</v>
      </c>
      <c r="C127" s="5">
        <f>(0.951*(E$26+(E$27-E$26)*A127/C$58)^0.729)*(1.009^E25)*(1.044^0)</f>
        <v>3.6946682894971818</v>
      </c>
      <c r="D127" s="5">
        <f t="shared" si="15"/>
        <v>133.2492836503389</v>
      </c>
      <c r="E127" s="4"/>
      <c r="F127" s="5"/>
      <c r="G127" s="5"/>
      <c r="H127" s="5"/>
      <c r="I127" s="4"/>
      <c r="J127" s="4"/>
      <c r="K127" s="4"/>
      <c r="L127" s="4"/>
      <c r="M127" s="5"/>
      <c r="N127" s="5"/>
      <c r="O127" s="5"/>
      <c r="P127" s="5"/>
    </row>
    <row r="128" spans="1:16">
      <c r="A128" s="5">
        <f t="shared" si="16"/>
        <v>3.2000000000000015</v>
      </c>
      <c r="B128" s="5">
        <f t="shared" si="14"/>
        <v>581.62940806015285</v>
      </c>
      <c r="C128" s="5">
        <f>(0.951*(E$26+(E$27-E$26)*A128/C$58)^0.729)*(1.009^E25)*(1.044^0)</f>
        <v>3.6959248532079054</v>
      </c>
      <c r="D128" s="5">
        <f t="shared" si="15"/>
        <v>134.58914165189415</v>
      </c>
      <c r="E128" s="4"/>
      <c r="F128" s="5"/>
      <c r="G128" s="5"/>
      <c r="H128" s="5"/>
      <c r="I128" s="4"/>
      <c r="J128" s="4"/>
      <c r="K128" s="4"/>
      <c r="L128" s="4"/>
      <c r="M128" s="5"/>
      <c r="N128" s="5"/>
      <c r="O128" s="5"/>
      <c r="P128" s="5"/>
    </row>
    <row r="129" spans="1:16">
      <c r="A129" s="5">
        <f t="shared" si="16"/>
        <v>3.3000000000000016</v>
      </c>
      <c r="B129" s="5">
        <f t="shared" si="14"/>
        <v>572.22294314158921</v>
      </c>
      <c r="C129" s="5">
        <f>(0.951*(E$26+(E$27-E$26)*A129/C$58)^0.729)*(1.009^E25)*(1.044^0)</f>
        <v>3.6971812581251067</v>
      </c>
      <c r="D129" s="5">
        <f t="shared" si="15"/>
        <v>135.81222982608261</v>
      </c>
      <c r="E129" s="4"/>
      <c r="F129" s="5"/>
      <c r="G129" s="5"/>
      <c r="H129" s="5"/>
      <c r="I129" s="4"/>
      <c r="J129" s="4"/>
      <c r="K129" s="4"/>
      <c r="L129" s="4"/>
      <c r="M129" s="5"/>
      <c r="N129" s="5"/>
      <c r="O129" s="5"/>
      <c r="P129" s="5"/>
    </row>
    <row r="130" spans="1:16">
      <c r="A130" s="5">
        <f t="shared" si="16"/>
        <v>3.4000000000000017</v>
      </c>
      <c r="B130" s="5">
        <f t="shared" si="14"/>
        <v>562.96860530091749</v>
      </c>
      <c r="C130" s="5">
        <f>(0.951*(E$26+(E$27-E$26)*A130/C$58)^0.729)*(1.009^E25)*(1.044^0)</f>
        <v>3.6984375043428539</v>
      </c>
      <c r="D130" s="5">
        <f t="shared" si="15"/>
        <v>136.92311246033913</v>
      </c>
      <c r="E130" s="4"/>
      <c r="F130" s="5"/>
      <c r="G130" s="5"/>
      <c r="H130" s="5"/>
      <c r="I130" s="4"/>
      <c r="J130" s="5"/>
      <c r="K130" s="5"/>
      <c r="L130" s="5"/>
      <c r="M130" s="5"/>
      <c r="N130" s="5"/>
      <c r="O130" s="5"/>
      <c r="P130" s="5"/>
    </row>
    <row r="131" spans="1:16">
      <c r="A131" s="5">
        <f t="shared" si="16"/>
        <v>3.5000000000000018</v>
      </c>
      <c r="B131" s="5">
        <f t="shared" si="14"/>
        <v>553.86393424640983</v>
      </c>
      <c r="C131" s="5">
        <f>(0.951*(E$26+(E$27-E$26)*A131/C$58)^0.729)*(1.009^E25)*(1.044^0)</f>
        <v>3.6996935919551217</v>
      </c>
      <c r="D131" s="5">
        <f t="shared" si="15"/>
        <v>137.92620259719911</v>
      </c>
      <c r="E131" s="4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</row>
    <row r="132" spans="1:16">
      <c r="A132" s="5">
        <f t="shared" si="16"/>
        <v>3.6000000000000019</v>
      </c>
      <c r="B132" s="5">
        <f t="shared" si="14"/>
        <v>544.90650947567394</v>
      </c>
      <c r="C132" s="5">
        <f>(0.951*(E$26+(E$27-E$26)*A132/C$58)^0.729)*(1.009^E25)*(1.044^0)</f>
        <v>3.7009495210557799</v>
      </c>
      <c r="D132" s="5">
        <f t="shared" si="15"/>
        <v>138.82576677639867</v>
      </c>
      <c r="E132" s="4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</row>
    <row r="133" spans="1:16">
      <c r="A133" s="5">
        <f t="shared" si="16"/>
        <v>3.700000000000002</v>
      </c>
      <c r="B133" s="5">
        <f t="shared" si="14"/>
        <v>536.0939496321563</v>
      </c>
      <c r="C133" s="5">
        <f>(0.951*(E$26+(E$27-E$26)*A133/C$58)^0.729)*(1.009^E25)*(1.044^0)</f>
        <v>3.7022052917386019</v>
      </c>
      <c r="D133" s="5">
        <f t="shared" si="15"/>
        <v>139.62592963066206</v>
      </c>
      <c r="E133" s="4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</row>
    <row r="134" spans="1:16">
      <c r="A134" s="5">
        <f t="shared" si="16"/>
        <v>3.800000000000002</v>
      </c>
      <c r="B134" s="5">
        <f t="shared" si="14"/>
        <v>527.42391187205124</v>
      </c>
      <c r="C134" s="5">
        <f>(0.951*(E$26+(E$27-E$26)*A134/C$58)^0.729)*(1.009^E25)*(1.044^0)</f>
        <v>3.7034609040972613</v>
      </c>
      <c r="D134" s="5">
        <f t="shared" si="15"/>
        <v>140.33067833969866</v>
      </c>
      <c r="E134" s="4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</row>
    <row r="135" spans="1:16">
      <c r="A135" s="5">
        <f t="shared" si="16"/>
        <v>3.9000000000000021</v>
      </c>
      <c r="B135" s="5">
        <f t="shared" si="14"/>
        <v>518.8940912414497</v>
      </c>
      <c r="C135" s="5">
        <f>(0.951*(E$26+(E$27-E$26)*A135/C$58)^0.729)*(1.009^E25)*(1.044^0)</f>
        <v>3.7047163582253311</v>
      </c>
      <c r="D135" s="5">
        <f t="shared" si="15"/>
        <v>140.94386694679082</v>
      </c>
      <c r="E135" s="4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</row>
    <row r="136" spans="1:16">
      <c r="A136" s="5">
        <f t="shared" si="16"/>
        <v>4.0000000000000018</v>
      </c>
      <c r="B136" s="5">
        <f t="shared" si="14"/>
        <v>510.50222006356086</v>
      </c>
      <c r="C136" s="5">
        <f>(0.951*(E$26+(E$27-E$26)*A136/C$58)^0.729)*(1.009^E25)*(1.044^0)</f>
        <v>3.7059716542162895</v>
      </c>
      <c r="D136" s="5">
        <f t="shared" si="15"/>
        <v>141.46922054221429</v>
      </c>
      <c r="E136" s="4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</row>
    <row r="137" spans="1:16">
      <c r="A137" s="5">
        <f t="shared" si="16"/>
        <v>4.1000000000000014</v>
      </c>
      <c r="B137" s="5">
        <f t="shared" si="14"/>
        <v>502.24606733584312</v>
      </c>
      <c r="C137" s="5">
        <f>(0.951*(E$26+(E$27-E$26)*A137/C$58)^0.729)*(1.009^E25)*(1.044^0)</f>
        <v>3.7072267921635134</v>
      </c>
      <c r="D137" s="5">
        <f t="shared" si="15"/>
        <v>141.91033931760433</v>
      </c>
      <c r="E137" s="4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</row>
    <row r="138" spans="1:16">
      <c r="A138" s="5">
        <f t="shared" si="16"/>
        <v>4.2000000000000011</v>
      </c>
      <c r="B138" s="5">
        <f t="shared" si="14"/>
        <v>494.12343813688676</v>
      </c>
      <c r="C138" s="5">
        <f>(0.951*(E$26+(E$27-E$26)*A138/C$58)^0.729)*(1.009^E25)*(1.044^0)</f>
        <v>3.7084817721602801</v>
      </c>
      <c r="D138" s="5">
        <f t="shared" si="15"/>
        <v>142.27070249524951</v>
      </c>
      <c r="E138" s="4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</row>
    <row r="139" spans="1:16">
      <c r="A139" s="5">
        <f t="shared" si="16"/>
        <v>4.3000000000000007</v>
      </c>
      <c r="B139" s="5">
        <f t="shared" si="14"/>
        <v>486.13217304288742</v>
      </c>
      <c r="C139" s="5">
        <f>(0.951*(E$26+(E$27-E$26)*A139/C$58)^0.729)*(1.009^E25)*(1.044^0)</f>
        <v>3.7097365942997711</v>
      </c>
      <c r="D139" s="5">
        <f t="shared" si="15"/>
        <v>142.55367213617291</v>
      </c>
      <c r="E139" s="4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</row>
    <row r="140" spans="1:16">
      <c r="A140" s="5">
        <f t="shared" si="16"/>
        <v>4.4000000000000004</v>
      </c>
      <c r="B140" s="5">
        <f t="shared" si="14"/>
        <v>478.27014755355714</v>
      </c>
      <c r="C140" s="5">
        <f>(0.951*(E$26+(E$27-E$26)*A140/C$58)^0.729)*(1.009^E25)*(1.044^0)</f>
        <v>3.7109912586750697</v>
      </c>
      <c r="D140" s="5">
        <f t="shared" si="15"/>
        <v>142.76249683073843</v>
      </c>
      <c r="E140" s="4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</row>
    <row r="141" spans="1:16">
      <c r="A141" s="5">
        <f t="shared" si="16"/>
        <v>4.5</v>
      </c>
      <c r="B141" s="5">
        <f t="shared" si="14"/>
        <v>470.53527152732045</v>
      </c>
      <c r="C141" s="5">
        <f>(0.951*(E$26+(E$27-E$26)*A141/C$58)^0.729)*(1.009^E25)*(1.044^0)</f>
        <v>3.7122457653791585</v>
      </c>
      <c r="D141" s="5">
        <f t="shared" si="15"/>
        <v>142.90031527540592</v>
      </c>
      <c r="E141" s="4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</row>
    <row r="142" spans="1:16">
      <c r="A142" s="5">
        <f t="shared" si="16"/>
        <v>4.5999999999999996</v>
      </c>
      <c r="B142" s="5">
        <f t="shared" si="14"/>
        <v>462.92548862564377</v>
      </c>
      <c r="C142" s="5">
        <f>(0.951*(E$26+(E$27-E$26)*A142/C$58)^0.729)*(1.009^E25)*(1.044^0)</f>
        <v>3.7135001145049253</v>
      </c>
      <c r="D142" s="5">
        <f t="shared" si="15"/>
        <v>142.97015973914282</v>
      </c>
      <c r="E142" s="4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</row>
    <row r="143" spans="1:16">
      <c r="A143" s="5">
        <f t="shared" si="16"/>
        <v>4.6999999999999993</v>
      </c>
      <c r="B143" s="5">
        <f t="shared" si="14"/>
        <v>455.43877576635236</v>
      </c>
      <c r="C143" s="5">
        <f>(0.951*(E$26+(E$27-E$26)*A143/C$58)^0.729)*(1.009^E25)*(1.044^0)</f>
        <v>3.7147543061451569</v>
      </c>
      <c r="D143" s="5">
        <f t="shared" si="15"/>
        <v>142.97495942289501</v>
      </c>
      <c r="E143" s="4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</row>
    <row r="144" spans="1:16">
      <c r="A144" s="5">
        <f t="shared" si="16"/>
        <v>4.7999999999999989</v>
      </c>
      <c r="B144" s="5">
        <f t="shared" si="14"/>
        <v>448.07314258578822</v>
      </c>
      <c r="C144" s="5">
        <f>(0.951*(E$26+(E$27-E$26)*A144/C$58)^0.729)*(1.009^E25)*(1.044^0)</f>
        <v>3.7160083403925461</v>
      </c>
      <c r="D144" s="5">
        <f t="shared" si="15"/>
        <v>142.91754371540983</v>
      </c>
      <c r="E144" s="4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</row>
    <row r="145" spans="1:16">
      <c r="A145" s="5">
        <f t="shared" si="16"/>
        <v>4.8999999999999986</v>
      </c>
      <c r="B145" s="5">
        <f t="shared" si="14"/>
        <v>440.82663090966645</v>
      </c>
      <c r="C145" s="5">
        <f>(0.951*(E$26+(E$27-E$26)*A145/C$58)^0.729)*(1.009^E25)*(1.044^0)</f>
        <v>3.7172622173396861</v>
      </c>
      <c r="D145" s="5">
        <f t="shared" si="15"/>
        <v>142.80064534860398</v>
      </c>
      <c r="E145" s="4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</row>
    <row r="146" spans="1:16">
      <c r="A146" s="5">
        <f t="shared" si="16"/>
        <v>4.9999999999999982</v>
      </c>
      <c r="B146" s="5">
        <f t="shared" si="14"/>
        <v>433.69731423248857</v>
      </c>
      <c r="C146" s="5">
        <f>(0.951*(E$26+(E$27-E$26)*A146/C$58)^0.729)*(1.009^E25)*(1.044^0)</f>
        <v>3.7185159370790735</v>
      </c>
      <c r="D146" s="5">
        <f t="shared" si="15"/>
        <v>142.62690345556965</v>
      </c>
      <c r="E146" s="4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</row>
    <row r="147" spans="1:16">
      <c r="A147" s="5">
        <f t="shared" si="16"/>
        <v>5.0999999999999979</v>
      </c>
      <c r="B147" s="5">
        <f t="shared" si="14"/>
        <v>426.68329720537633</v>
      </c>
      <c r="C147" s="5">
        <f>(0.951*(E$26+(E$27-E$26)*A147/C$58)^0.729)*(1.009^E25)*(1.044^0)</f>
        <v>3.7197694997031072</v>
      </c>
      <c r="D147" s="5">
        <f t="shared" si="15"/>
        <v>142.39886653421598</v>
      </c>
      <c r="E147" s="4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</row>
    <row r="148" spans="1:16">
      <c r="A148" s="5">
        <f t="shared" si="16"/>
        <v>5.1999999999999975</v>
      </c>
      <c r="B148" s="5">
        <f t="shared" si="14"/>
        <v>419.78271513218743</v>
      </c>
      <c r="C148" s="5">
        <f>(0.951*(E$26+(E$27-E$26)*A148/C$58)^0.729)*(1.009^E25)*(1.044^0)</f>
        <v>3.7210229053040895</v>
      </c>
      <c r="D148" s="5">
        <f t="shared" si="15"/>
        <v>142.11899531944982</v>
      </c>
      <c r="E148" s="4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</row>
    <row r="149" spans="1:16">
      <c r="A149" s="5">
        <f t="shared" si="16"/>
        <v>5.2999999999999972</v>
      </c>
      <c r="B149" s="5">
        <f t="shared" si="14"/>
        <v>412.99373347378082</v>
      </c>
      <c r="C149" s="5">
        <f>(0.951*(E$26+(E$27-E$26)*A149/C$58)^0.729)*(1.009^E25)*(1.044^0)</f>
        <v>3.7222761539742253</v>
      </c>
      <c r="D149" s="5">
        <f t="shared" si="15"/>
        <v>141.78966556670892</v>
      </c>
      <c r="E149" s="4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</row>
    <row r="150" spans="1:16">
      <c r="A150" s="5">
        <f t="shared" si="16"/>
        <v>5.3999999999999968</v>
      </c>
      <c r="B150" s="5">
        <f t="shared" si="14"/>
        <v>406.31454736029957</v>
      </c>
      <c r="C150" s="5">
        <f>(0.951*(E$26+(E$27-E$26)*A150/C$58)^0.729)*(1.009^E25)*(1.044^0)</f>
        <v>3.7235292458056235</v>
      </c>
      <c r="D150" s="5">
        <f t="shared" si="15"/>
        <v>141.41317074957612</v>
      </c>
      <c r="E150" s="4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</row>
    <row r="151" spans="1:16">
      <c r="A151" s="5">
        <f t="shared" si="16"/>
        <v>5.4999999999999964</v>
      </c>
      <c r="B151" s="5">
        <f t="shared" si="14"/>
        <v>399.74338111134085</v>
      </c>
      <c r="C151" s="5">
        <f>(0.951*(E$26+(E$27-E$26)*A151/C$58)^0.729)*(1.009^E25)*(1.044^0)</f>
        <v>3.7247821808902972</v>
      </c>
      <c r="D151" s="5">
        <f t="shared" si="15"/>
        <v>140.99172467411441</v>
      </c>
      <c r="E151" s="4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</row>
    <row r="152" spans="1:16">
      <c r="A152" s="5">
        <f t="shared" si="16"/>
        <v>5.5999999999999961</v>
      </c>
      <c r="B152" s="5">
        <f t="shared" si="14"/>
        <v>393.27848776388674</v>
      </c>
      <c r="C152" s="5">
        <f>(0.951*(E$26+(E$27-E$26)*A152/C$58)^0.729)*(1.009^E25)*(1.044^0)</f>
        <v>3.7260349593201614</v>
      </c>
      <c r="D152" s="5">
        <f t="shared" si="15"/>
        <v>140.5274640124853</v>
      </c>
      <c r="E152" s="4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</row>
    <row r="153" spans="1:16">
      <c r="A153" s="5">
        <f t="shared" si="16"/>
        <v>5.6999999999999957</v>
      </c>
      <c r="B153" s="5">
        <f t="shared" si="14"/>
        <v>386.91814860786849</v>
      </c>
      <c r="C153" s="5">
        <f>(0.951*(E$26+(E$27-E$26)*A153/C$58)^0.729)*(1.009^E25)*(1.044^0)</f>
        <v>3.7272875811870363</v>
      </c>
      <c r="D153" s="5">
        <f t="shared" si="15"/>
        <v>140.02245075832934</v>
      </c>
      <c r="E153" s="4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</row>
    <row r="154" spans="1:16">
      <c r="A154" s="5">
        <f t="shared" si="16"/>
        <v>5.7999999999999954</v>
      </c>
      <c r="B154" s="5">
        <f t="shared" si="14"/>
        <v>380.66067272924329</v>
      </c>
      <c r="C154" s="5">
        <f>(0.951*(E$26+(E$27-E$26)*A154/C$58)^0.729)*(1.009^E25)*(1.044^0)</f>
        <v>3.7285400465826433</v>
      </c>
      <c r="D154" s="5">
        <f t="shared" si="15"/>
        <v>139.47867460631562</v>
      </c>
      <c r="E154" s="4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</row>
    <row r="155" spans="1:16">
      <c r="A155" s="5">
        <f t="shared" si="16"/>
        <v>5.899999999999995</v>
      </c>
      <c r="B155" s="5">
        <f t="shared" si="14"/>
        <v>374.50439656045967</v>
      </c>
      <c r="C155" s="5">
        <f>(0.951*(E$26+(E$27-E$26)*A155/C$58)^0.729)*(1.009^E25)*(1.044^0)</f>
        <v>3.7297923555986126</v>
      </c>
      <c r="D155" s="5">
        <f t="shared" si="15"/>
        <v>138.8980552581869</v>
      </c>
      <c r="E155" s="4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</row>
    <row r="156" spans="1:16">
      <c r="A156" s="5">
        <f t="shared" si="16"/>
        <v>5.9999999999999947</v>
      </c>
      <c r="B156" s="5">
        <f t="shared" si="14"/>
        <v>368.44768343819362</v>
      </c>
      <c r="C156" s="5">
        <f>(0.951*(E$26+(E$27-E$26)*A156/C$58)^0.729)*(1.009^E25)*(1.044^0)</f>
        <v>3.7310445083264727</v>
      </c>
      <c r="D156" s="5">
        <f t="shared" si="15"/>
        <v>138.28244465756131</v>
      </c>
      <c r="E156" s="4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</row>
    <row r="157" spans="1:16">
      <c r="A157" s="5">
        <f t="shared" si="16"/>
        <v>6.0999999999999943</v>
      </c>
      <c r="B157" s="5">
        <f t="shared" si="14"/>
        <v>362.48892316823674</v>
      </c>
      <c r="C157" s="5">
        <f>(0.951*(E$26+(E$27-E$26)*A157/C$58)^0.729)*(1.009^E25)*(1.044^0)</f>
        <v>3.7322965048576613</v>
      </c>
      <c r="D157" s="5">
        <f t="shared" si="15"/>
        <v>137.63362915567572</v>
      </c>
      <c r="E157" s="4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</row>
    <row r="158" spans="1:16">
      <c r="A158" s="5">
        <f t="shared" si="16"/>
        <v>6.199999999999994</v>
      </c>
      <c r="B158" s="5">
        <f t="shared" si="14"/>
        <v>356.62653159742189</v>
      </c>
      <c r="C158" s="5">
        <f>(0.951*(E$26+(E$27-E$26)*A158/C$58)^0.729)*(1.009^E25)*(1.044^0)</f>
        <v>3.7335483452835199</v>
      </c>
      <c r="D158" s="5">
        <f t="shared" si="15"/>
        <v>136.95333161019337</v>
      </c>
      <c r="E158" s="4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</row>
    <row r="159" spans="1:16">
      <c r="A159" s="5">
        <f t="shared" si="16"/>
        <v>6.2999999999999936</v>
      </c>
      <c r="B159" s="5">
        <f t="shared" si="14"/>
        <v>350.8589501924713</v>
      </c>
      <c r="C159" s="5">
        <f>(0.951*(E$26+(E$27-E$26)*A159/C$58)^0.729)*(1.009^E25)*(1.044^0)</f>
        <v>3.734800029695291</v>
      </c>
      <c r="D159" s="5">
        <f t="shared" si="15"/>
        <v>136.24321341912861</v>
      </c>
      <c r="E159" s="4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</row>
    <row r="160" spans="1:16">
      <c r="A160" s="5">
        <f t="shared" si="16"/>
        <v>6.3999999999999932</v>
      </c>
      <c r="B160" s="5">
        <f t="shared" ref="B160:B223" si="17">F$63*EXP(-F$64*A160)</f>
        <v>345.18464562565657</v>
      </c>
      <c r="C160" s="5">
        <f>(0.951*(E$26+(E$27-E$26)*A160/C$58)^0.729)*(1.009^E25)*(1.044^0)</f>
        <v>3.7360515581841258</v>
      </c>
      <c r="D160" s="5">
        <f t="shared" ref="D160:D223" si="18">$F$63*$F$66/($F$65/C160-$F$64)/C160*(EXP(-$F$64*A160)-EXP(-$F$65/C160*A160))</f>
        <v>135.50487649188221</v>
      </c>
      <c r="E160" s="4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</row>
    <row r="161" spans="1:16">
      <c r="A161" s="5">
        <f t="shared" ref="A161:A224" si="19">A160+0.1</f>
        <v>6.4999999999999929</v>
      </c>
      <c r="B161" s="5">
        <f t="shared" si="17"/>
        <v>339.60210936715856</v>
      </c>
      <c r="C161" s="5">
        <f>(0.951*(E$26+(E$27-E$26)*A161/C$58)^0.729)*(1.009^E25)*(1.044^0)</f>
        <v>3.7373029308410781</v>
      </c>
      <c r="D161" s="5">
        <f t="shared" si="18"/>
        <v>134.73986515931446</v>
      </c>
      <c r="E161" s="4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</row>
    <row r="162" spans="1:16">
      <c r="A162" s="5">
        <f t="shared" si="19"/>
        <v>6.5999999999999925</v>
      </c>
      <c r="B162" s="5">
        <f t="shared" si="17"/>
        <v>334.10985728402113</v>
      </c>
      <c r="C162" s="5">
        <f>(0.951*(E$26+(E$27-E$26)*A162/C$58)^0.729)*(1.009^E25)*(1.044^0)</f>
        <v>3.7385541477571089</v>
      </c>
      <c r="D162" s="5">
        <f t="shared" si="18"/>
        <v>133.94966802472922</v>
      </c>
      <c r="E162" s="4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</row>
    <row r="163" spans="1:16">
      <c r="A163" s="5">
        <f t="shared" si="19"/>
        <v>6.6999999999999922</v>
      </c>
      <c r="B163" s="5">
        <f t="shared" si="17"/>
        <v>328.7064292455899</v>
      </c>
      <c r="C163" s="5">
        <f>(0.951*(E$26+(E$27-E$26)*A163/C$58)^0.729)*(1.009^E25)*(1.044^0)</f>
        <v>3.7398052090230811</v>
      </c>
      <c r="D163" s="5">
        <f t="shared" si="18"/>
        <v>133.13571975757938</v>
      </c>
      <c r="E163" s="4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</row>
    <row r="164" spans="1:16">
      <c r="A164" s="5">
        <f t="shared" si="19"/>
        <v>6.7999999999999918</v>
      </c>
      <c r="B164" s="5">
        <f t="shared" si="17"/>
        <v>323.39038873533229</v>
      </c>
      <c r="C164" s="5">
        <f>(0.951*(E$26+(E$27-E$26)*A164/C$58)^0.729)*(1.009^E25)*(1.044^0)</f>
        <v>3.7410561147297661</v>
      </c>
      <c r="D164" s="5">
        <f t="shared" si="18"/>
        <v>132.29940283165149</v>
      </c>
      <c r="E164" s="4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</row>
    <row r="165" spans="1:16">
      <c r="A165" s="5">
        <f t="shared" si="19"/>
        <v>6.8999999999999915</v>
      </c>
      <c r="B165" s="5">
        <f t="shared" si="17"/>
        <v>318.16032246893587</v>
      </c>
      <c r="C165" s="5">
        <f>(0.951*(E$26+(E$27-E$26)*A165/C$58)^0.729)*(1.009^E25)*(1.044^0)</f>
        <v>3.7423068649678384</v>
      </c>
      <c r="D165" s="5">
        <f t="shared" si="18"/>
        <v>131.44204920943201</v>
      </c>
      <c r="E165" s="4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</row>
    <row r="166" spans="1:16">
      <c r="A166" s="5">
        <f t="shared" si="19"/>
        <v>6.9999999999999911</v>
      </c>
      <c r="B166" s="5">
        <f t="shared" si="17"/>
        <v>313.0148400185825</v>
      </c>
      <c r="C166" s="5">
        <f>(0.951*(E$26+(E$27-E$26)*A166/C$58)^0.729)*(1.009^E25)*(1.044^0)</f>
        <v>3.7435574598278807</v>
      </c>
      <c r="D166" s="5">
        <f t="shared" si="18"/>
        <v>130.56494197430513</v>
      </c>
      <c r="E166" s="4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</row>
    <row r="167" spans="1:16">
      <c r="A167" s="5">
        <f t="shared" si="19"/>
        <v>7.0999999999999908</v>
      </c>
      <c r="B167" s="5">
        <f t="shared" si="17"/>
        <v>307.95257344329951</v>
      </c>
      <c r="C167" s="5">
        <f>(0.951*(E$26+(E$27-E$26)*A167/C$58)^0.729)*(1.009^E25)*(1.044^0)</f>
        <v>3.7448078994003797</v>
      </c>
      <c r="D167" s="5">
        <f t="shared" si="18"/>
        <v>129.66931691218164</v>
      </c>
      <c r="E167" s="4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</row>
    <row r="168" spans="1:16">
      <c r="A168" s="5">
        <f t="shared" si="19"/>
        <v>7.1999999999999904</v>
      </c>
      <c r="B168" s="5">
        <f t="shared" si="17"/>
        <v>302.97217692528824</v>
      </c>
      <c r="C168" s="5">
        <f>(0.951*(E$26+(E$27-E$26)*A168/C$58)^0.729)*(1.009^E25)*(1.044^0)</f>
        <v>3.7460581837757259</v>
      </c>
      <c r="D168" s="5">
        <f t="shared" si="18"/>
        <v>128.75636404410909</v>
      </c>
      <c r="E168" s="4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</row>
    <row r="169" spans="1:16">
      <c r="A169" s="5">
        <f t="shared" si="19"/>
        <v>7.2999999999999901</v>
      </c>
      <c r="B169" s="5">
        <f t="shared" si="17"/>
        <v>298.072326412135</v>
      </c>
      <c r="C169" s="5">
        <f>(0.951*(E$26+(E$27-E$26)*A169/C$58)^0.729)*(1.009^E25)*(1.044^0)</f>
        <v>3.747308313044222</v>
      </c>
      <c r="D169" s="5">
        <f t="shared" si="18"/>
        <v>127.82722911136501</v>
      </c>
      <c r="E169" s="4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</row>
    <row r="170" spans="1:16">
      <c r="A170" s="5">
        <f t="shared" si="19"/>
        <v>7.3999999999999897</v>
      </c>
      <c r="B170" s="5">
        <f t="shared" si="17"/>
        <v>293.25171926480795</v>
      </c>
      <c r="C170" s="5">
        <f>(0.951*(E$26+(E$27-E$26)*A170/C$58)^0.729)*(1.009^E25)*(1.044^0)</f>
        <v>3.7485582872960688</v>
      </c>
      <c r="D170" s="5">
        <f t="shared" si="18"/>
        <v>126.88301501449016</v>
      </c>
      <c r="E170" s="4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</row>
    <row r="171" spans="1:16">
      <c r="A171" s="5">
        <f t="shared" si="19"/>
        <v>7.4999999999999893</v>
      </c>
      <c r="B171" s="5">
        <f t="shared" si="17"/>
        <v>288.50907391134677</v>
      </c>
      <c r="C171" s="5">
        <f>(0.951*(E$26+(E$27-E$26)*A171/C$58)^0.729)*(1.009^E25)*(1.044^0)</f>
        <v>3.7498081066213809</v>
      </c>
      <c r="D171" s="5">
        <f t="shared" si="18"/>
        <v>125.92478320767243</v>
      </c>
      <c r="E171" s="4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</row>
    <row r="172" spans="1:16">
      <c r="A172" s="5">
        <f t="shared" si="19"/>
        <v>7.599999999999989</v>
      </c>
      <c r="B172" s="5">
        <f t="shared" si="17"/>
        <v>283.84312950615316</v>
      </c>
      <c r="C172" s="5">
        <f>(0.951*(E$26+(E$27-E$26)*A172/C$58)^0.729)*(1.009^E25)*(1.044^0)</f>
        <v>3.7510577711101751</v>
      </c>
      <c r="D172" s="5">
        <f t="shared" si="18"/>
        <v>124.95355504985011</v>
      </c>
      <c r="E172" s="4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</row>
    <row r="173" spans="1:16">
      <c r="A173" s="5">
        <f t="shared" si="19"/>
        <v>7.6999999999999886</v>
      </c>
      <c r="B173" s="5">
        <f t="shared" si="17"/>
        <v>279.2526455947916</v>
      </c>
      <c r="C173" s="5">
        <f>(0.951*(E$26+(E$27-E$26)*A173/C$58)^0.729)*(1.009^E25)*(1.044^0)</f>
        <v>3.7523072808523747</v>
      </c>
      <c r="D173" s="5">
        <f t="shared" si="18"/>
        <v>123.97031311385986</v>
      </c>
      <c r="E173" s="4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</row>
    <row r="174" spans="1:16">
      <c r="A174" s="5">
        <f t="shared" si="19"/>
        <v>7.7999999999999883</v>
      </c>
      <c r="B174" s="5">
        <f t="shared" si="17"/>
        <v>274.73640178421073</v>
      </c>
      <c r="C174" s="5">
        <f>(0.951*(E$26+(E$27-E$26)*A174/C$58)^0.729)*(1.009^E25)*(1.044^0)</f>
        <v>3.7535566359378123</v>
      </c>
      <c r="D174" s="5">
        <f t="shared" si="18"/>
        <v>122.97600245491454</v>
      </c>
      <c r="E174" s="4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</row>
    <row r="175" spans="1:16">
      <c r="A175" s="5">
        <f t="shared" si="19"/>
        <v>7.8999999999999879</v>
      </c>
      <c r="B175" s="5">
        <f t="shared" si="17"/>
        <v>270.29319741829897</v>
      </c>
      <c r="C175" s="5">
        <f>(0.951*(E$26+(E$27-E$26)*A175/C$58)^0.729)*(1.009^E25)*(1.044^0)</f>
        <v>3.7548058364562253</v>
      </c>
      <c r="D175" s="5">
        <f t="shared" si="18"/>
        <v>121.97153183965776</v>
      </c>
      <c r="E175" s="4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</row>
    <row r="176" spans="1:16">
      <c r="A176" s="5">
        <f t="shared" si="19"/>
        <v>7.9999999999999876</v>
      </c>
      <c r="B176" s="5">
        <f t="shared" si="17"/>
        <v>265.92185125868616</v>
      </c>
      <c r="C176" s="5">
        <f>(0.951*(E$26+(E$27-E$26)*A176/C$58)^0.729)*(1.009^E25)*(1.044^0)</f>
        <v>3.7560548824972586</v>
      </c>
      <c r="D176" s="5">
        <f t="shared" si="18"/>
        <v>120.95777493700086</v>
      </c>
      <c r="E176" s="4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</row>
    <row r="177" spans="1:16">
      <c r="A177" s="5">
        <f t="shared" si="19"/>
        <v>8.0999999999999872</v>
      </c>
      <c r="B177" s="5">
        <f t="shared" si="17"/>
        <v>261.62120117070856</v>
      </c>
      <c r="C177" s="5">
        <f>(0.951*(E$26+(E$27-E$26)*A177/C$58)^0.729)*(1.009^E25)*(1.044^0)</f>
        <v>3.7573037741504645</v>
      </c>
      <c r="D177" s="5">
        <f t="shared" si="18"/>
        <v>119.93557147191466</v>
      </c>
      <c r="E177" s="4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</row>
    <row r="178" spans="1:16">
      <c r="A178" s="5">
        <f t="shared" si="19"/>
        <v>8.1999999999999869</v>
      </c>
      <c r="B178" s="5">
        <f t="shared" si="17"/>
        <v>257.39010381445144</v>
      </c>
      <c r="C178" s="5">
        <f>(0.951*(E$26+(E$27-E$26)*A178/C$58)^0.729)*(1.009^E25)*(1.044^0)</f>
        <v>3.7585525115053011</v>
      </c>
      <c r="D178" s="5">
        <f t="shared" si="18"/>
        <v>118.90572834330828</v>
      </c>
      <c r="E178" s="4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</row>
    <row r="179" spans="1:16">
      <c r="A179" s="5">
        <f t="shared" si="19"/>
        <v>8.2999999999999865</v>
      </c>
      <c r="B179" s="5">
        <f t="shared" si="17"/>
        <v>253.22743434078944</v>
      </c>
      <c r="C179" s="5">
        <f>(0.951*(E$26+(E$27-E$26)*A179/C$58)^0.729)*(1.009^E25)*(1.044^0)</f>
        <v>3.7598010946511371</v>
      </c>
      <c r="D179" s="5">
        <f t="shared" si="18"/>
        <v>117.86902070709777</v>
      </c>
      <c r="E179" s="4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</row>
    <row r="180" spans="1:16">
      <c r="A180" s="5">
        <f t="shared" si="19"/>
        <v>8.3999999999999861</v>
      </c>
      <c r="B180" s="5">
        <f t="shared" si="17"/>
        <v>249.13208609234229</v>
      </c>
      <c r="C180" s="5">
        <f>(0.951*(E$26+(E$27-E$26)*A180/C$58)^0.729)*(1.009^E25)*(1.044^0)</f>
        <v>3.7610495236772454</v>
      </c>
      <c r="D180" s="5">
        <f t="shared" si="18"/>
        <v>116.82619302552722</v>
      </c>
      <c r="E180" s="4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</row>
    <row r="181" spans="1:16">
      <c r="A181" s="5">
        <f t="shared" si="19"/>
        <v>8.4999999999999858</v>
      </c>
      <c r="B181" s="5">
        <f t="shared" si="17"/>
        <v>245.1029703092666</v>
      </c>
      <c r="C181" s="5">
        <f>(0.951*(E$26+(E$27-E$26)*A181/C$58)^0.729)*(1.009^E25)*(1.044^0)</f>
        <v>3.7622977986728094</v>
      </c>
      <c r="D181" s="5">
        <f t="shared" si="18"/>
        <v>115.77796008377858</v>
      </c>
      <c r="E181" s="4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</row>
    <row r="182" spans="1:16">
      <c r="A182" s="5">
        <f t="shared" si="19"/>
        <v>8.5999999999999854</v>
      </c>
      <c r="B182" s="5">
        <f t="shared" si="17"/>
        <v>241.13901583980584</v>
      </c>
      <c r="C182" s="5">
        <f>(0.951*(E$26+(E$27-E$26)*A182/C$58)^0.729)*(1.009^E25)*(1.044^0)</f>
        <v>3.7635459197269174</v>
      </c>
      <c r="D182" s="5">
        <f t="shared" si="18"/>
        <v>114.72500797486958</v>
      </c>
      <c r="E182" s="4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</row>
    <row r="183" spans="1:16">
      <c r="A183" s="5">
        <f t="shared" si="19"/>
        <v>8.6999999999999851</v>
      </c>
      <c r="B183" s="5">
        <f t="shared" si="17"/>
        <v>237.23916885552222</v>
      </c>
      <c r="C183" s="5">
        <f>(0.951*(E$26+(E$27-E$26)*A183/C$58)^0.729)*(1.009^E25)*(1.044^0)</f>
        <v>3.7647938869285689</v>
      </c>
      <c r="D183" s="5">
        <f t="shared" si="18"/>
        <v>113.6679950538128</v>
      </c>
      <c r="E183" s="4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</row>
    <row r="184" spans="1:16">
      <c r="A184" s="5">
        <f t="shared" si="19"/>
        <v>8.7999999999999847</v>
      </c>
      <c r="B184" s="5">
        <f t="shared" si="17"/>
        <v>233.40239257113282</v>
      </c>
      <c r="C184" s="5">
        <f>(0.951*(E$26+(E$27-E$26)*A184/C$58)^0.729)*(1.009^E25)*(1.044^0)</f>
        <v>3.7660417003666682</v>
      </c>
      <c r="D184" s="5">
        <f t="shared" si="18"/>
        <v>112.60755286197515</v>
      </c>
      <c r="E184" s="4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</row>
    <row r="185" spans="1:16">
      <c r="A185" s="5">
        <f t="shared" si="19"/>
        <v>8.8999999999999844</v>
      </c>
      <c r="B185" s="5">
        <f t="shared" si="17"/>
        <v>229.62766696887769</v>
      </c>
      <c r="C185" s="5">
        <f>(0.951*(E$26+(E$27-E$26)*A185/C$58)^0.729)*(1.009^E25)*(1.044^0)</f>
        <v>3.7672893601300306</v>
      </c>
      <c r="D185" s="5">
        <f t="shared" si="18"/>
        <v>111.54428702255198</v>
      </c>
      <c r="E185" s="4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</row>
    <row r="186" spans="1:16">
      <c r="A186" s="5">
        <f t="shared" si="19"/>
        <v>8.999999999999984</v>
      </c>
      <c r="B186" s="5">
        <f t="shared" si="17"/>
        <v>225.91398852734514</v>
      </c>
      <c r="C186" s="5">
        <f>(0.951*(E$26+(E$27-E$26)*A186/C$58)^0.729)*(1.009^E25)*(1.044^0)</f>
        <v>3.7685368663073793</v>
      </c>
      <c r="D186" s="5">
        <f t="shared" si="18"/>
        <v>110.47877810803936</v>
      </c>
      <c r="E186" s="4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</row>
    <row r="187" spans="1:16">
      <c r="A187" s="5">
        <f t="shared" si="19"/>
        <v>9.0999999999999837</v>
      </c>
      <c r="B187" s="5">
        <f t="shared" si="17"/>
        <v>222.26036995468269</v>
      </c>
      <c r="C187" s="5">
        <f>(0.951*(E$26+(E$27-E$26)*A187/C$58)^0.729)*(1.009^E25)*(1.044^0)</f>
        <v>3.7697842189873438</v>
      </c>
      <c r="D187" s="5">
        <f t="shared" si="18"/>
        <v>109.41158248056162</v>
      </c>
      <c r="E187" s="4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</row>
    <row r="188" spans="1:16">
      <c r="A188" s="5">
        <f t="shared" si="19"/>
        <v>9.1999999999999833</v>
      </c>
      <c r="B188" s="5">
        <f t="shared" si="17"/>
        <v>218.66583992612291</v>
      </c>
      <c r="C188" s="5">
        <f>(0.951*(E$26+(E$27-E$26)*A188/C$58)^0.729)*(1.009^E25)*(1.044^0)</f>
        <v>3.7710314182584654</v>
      </c>
      <c r="D188" s="5">
        <f t="shared" si="18"/>
        <v>108.34323310588705</v>
      </c>
      <c r="E188" s="4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</row>
    <row r="189" spans="1:16">
      <c r="A189" s="5">
        <f t="shared" si="19"/>
        <v>9.2999999999999829</v>
      </c>
      <c r="B189" s="5">
        <f t="shared" si="17"/>
        <v>215.12944282575384</v>
      </c>
      <c r="C189" s="5">
        <f>(0.951*(E$26+(E$27-E$26)*A189/C$58)^0.729)*(1.009^E25)*(1.044^0)</f>
        <v>3.772278464209192</v>
      </c>
      <c r="D189" s="5">
        <f t="shared" si="18"/>
        <v>107.27424034193525</v>
      </c>
      <c r="E189" s="4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</row>
    <row r="190" spans="1:16">
      <c r="A190" s="5">
        <f t="shared" si="19"/>
        <v>9.3999999999999826</v>
      </c>
      <c r="B190" s="5">
        <f t="shared" si="17"/>
        <v>211.65023849246595</v>
      </c>
      <c r="C190" s="5">
        <f>(0.951*(E$26+(E$27-E$26)*A190/C$58)^0.729)*(1.009^E25)*(1.044^0)</f>
        <v>3.7735253569278804</v>
      </c>
      <c r="D190" s="5">
        <f t="shared" si="18"/>
        <v>106.20509270255982</v>
      </c>
      <c r="E190" s="4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</row>
    <row r="191" spans="1:16">
      <c r="A191" s="5">
        <f t="shared" si="19"/>
        <v>9.4999999999999822</v>
      </c>
      <c r="B191" s="5">
        <f t="shared" si="17"/>
        <v>208.22730197000746</v>
      </c>
      <c r="C191" s="5">
        <f>(0.951*(E$26+(E$27-E$26)*A191/C$58)^0.729)*(1.009^E25)*(1.044^0)</f>
        <v>3.7747720965027982</v>
      </c>
      <c r="D191" s="5">
        <f t="shared" si="18"/>
        <v>105.13625759736115</v>
      </c>
      <c r="E191" s="4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</row>
    <row r="192" spans="1:16">
      <c r="A192" s="5">
        <f t="shared" si="19"/>
        <v>9.5999999999999819</v>
      </c>
      <c r="B192" s="5">
        <f t="shared" si="17"/>
        <v>204.85972326108251</v>
      </c>
      <c r="C192" s="5">
        <f>(0.951*(E$26+(E$27-E$26)*A192/C$58)^0.729)*(1.009^E25)*(1.044^0)</f>
        <v>3.7760186830221212</v>
      </c>
      <c r="D192" s="5">
        <f t="shared" si="18"/>
        <v>104.06818204826575</v>
      </c>
      <c r="E192" s="4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</row>
    <row r="193" spans="1:16">
      <c r="A193" s="5">
        <f t="shared" si="19"/>
        <v>9.6999999999999815</v>
      </c>
      <c r="B193" s="5">
        <f t="shared" si="17"/>
        <v>201.54660708542531</v>
      </c>
      <c r="C193" s="5">
        <f>(0.951*(E$26+(E$27-E$26)*A193/C$58)^0.729)*(1.009^E25)*(1.044^0)</f>
        <v>3.777265116573933</v>
      </c>
      <c r="D193" s="5">
        <f t="shared" si="18"/>
        <v>103.00129338358211</v>
      </c>
      <c r="E193" s="4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</row>
    <row r="194" spans="1:16">
      <c r="A194" s="5">
        <f t="shared" si="19"/>
        <v>9.7999999999999812</v>
      </c>
      <c r="B194" s="5">
        <f t="shared" si="17"/>
        <v>198.2870726417878</v>
      </c>
      <c r="C194" s="5">
        <f>(0.951*(E$26+(E$27-E$26)*A194/C$58)^0.729)*(1.009^E25)*(1.044^0)</f>
        <v>3.7785113972462292</v>
      </c>
      <c r="D194" s="5">
        <f t="shared" si="18"/>
        <v>101.93599991022467</v>
      </c>
      <c r="E194" s="4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</row>
    <row r="195" spans="1:16">
      <c r="A195" s="5">
        <f t="shared" si="19"/>
        <v>9.8999999999999808</v>
      </c>
      <c r="B195" s="5">
        <f t="shared" si="17"/>
        <v>195.08025337377595</v>
      </c>
      <c r="C195" s="5">
        <f>(0.951*(E$26+(E$27-E$26)*A195/C$58)^0.729)*(1.009^E25)*(1.044^0)</f>
        <v>3.7797575251269144</v>
      </c>
      <c r="D195" s="5">
        <f t="shared" si="18"/>
        <v>100.87269156477299</v>
      </c>
      <c r="E195" s="4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</row>
    <row r="196" spans="1:16">
      <c r="A196" s="5">
        <f t="shared" si="19"/>
        <v>9.9999999999999805</v>
      </c>
      <c r="B196" s="5">
        <f t="shared" si="17"/>
        <v>191.92529673947328</v>
      </c>
      <c r="C196" s="5">
        <f>(0.951*(E$26+(E$27-E$26)*A196/C$58)^0.729)*(1.009^E25)*(1.044^0)</f>
        <v>3.7810035003038012</v>
      </c>
      <c r="D196" s="5">
        <f t="shared" si="18"/>
        <v>99.811740544016558</v>
      </c>
      <c r="E196" s="4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</row>
    <row r="197" spans="1:16">
      <c r="A197" s="5">
        <f t="shared" si="19"/>
        <v>10.09999999999998</v>
      </c>
      <c r="B197" s="5">
        <f t="shared" si="17"/>
        <v>188.82136398479037</v>
      </c>
      <c r="C197" s="5">
        <f>(0.951*(E$26+(E$27-E$26)*A197/C$58)^0.729)*(1.009^E25)*(1.044^0)</f>
        <v>3.7822493228646148</v>
      </c>
      <c r="D197" s="5">
        <f t="shared" si="18"/>
        <v>98.753501915612503</v>
      </c>
      <c r="E197" s="4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</row>
    <row r="198" spans="1:16">
      <c r="A198" s="5">
        <f t="shared" si="19"/>
        <v>10.19999999999998</v>
      </c>
      <c r="B198" s="5">
        <f t="shared" si="17"/>
        <v>185.76762992047952</v>
      </c>
      <c r="C198" s="5">
        <f>(0.951*(E$26+(E$27-E$26)*A198/C$58)^0.729)*(1.009^E25)*(1.044^0)</f>
        <v>3.7834949928969883</v>
      </c>
      <c r="D198" s="5">
        <f t="shared" si="18"/>
        <v>97.698314209466389</v>
      </c>
      <c r="E198" s="4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</row>
    <row r="199" spans="1:16">
      <c r="A199" s="5">
        <f t="shared" si="19"/>
        <v>10.299999999999979</v>
      </c>
      <c r="B199" s="5">
        <f t="shared" si="17"/>
        <v>182.76328270275602</v>
      </c>
      <c r="C199" s="5">
        <f>(0.951*(E$26+(E$27-E$26)*A199/C$58)^0.729)*(1.009^E25)*(1.044^0)</f>
        <v>3.7847405104884637</v>
      </c>
      <c r="D199" s="5">
        <f t="shared" si="18"/>
        <v>96.646499990427415</v>
      </c>
      <c r="E199" s="4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</row>
    <row r="200" spans="1:16">
      <c r="A200" s="5">
        <f t="shared" si="19"/>
        <v>10.399999999999979</v>
      </c>
      <c r="B200" s="5">
        <f t="shared" si="17"/>
        <v>179.80752361746715</v>
      </c>
      <c r="C200" s="5">
        <f>(0.951*(E$26+(E$27-E$26)*A200/C$58)^0.729)*(1.009^E25)*(1.044^0)</f>
        <v>3.7859858757264977</v>
      </c>
      <c r="D200" s="5">
        <f t="shared" si="18"/>
        <v>95.598366412869666</v>
      </c>
      <c r="E200" s="4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</row>
    <row r="201" spans="1:16">
      <c r="A201" s="5">
        <f t="shared" si="19"/>
        <v>10.499999999999979</v>
      </c>
      <c r="B201" s="5">
        <f t="shared" si="17"/>
        <v>176.89956686775179</v>
      </c>
      <c r="C201" s="5">
        <f>(0.951*(E$26+(E$27-E$26)*A201/C$58)^0.729)*(1.009^E25)*(1.044^0)</f>
        <v>3.7872310886984546</v>
      </c>
      <c r="D201" s="5">
        <f t="shared" si="18"/>
        <v>94.554205757716474</v>
      </c>
      <c r="E201" s="4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</row>
    <row r="202" spans="1:16">
      <c r="A202" s="5">
        <f t="shared" si="19"/>
        <v>10.599999999999978</v>
      </c>
      <c r="B202" s="5">
        <f t="shared" si="17"/>
        <v>174.038639365134</v>
      </c>
      <c r="C202" s="5">
        <f>(0.951*(E$26+(E$27-E$26)*A202/C$58)^0.729)*(1.009^E25)*(1.044^0)</f>
        <v>3.7884761494916073</v>
      </c>
      <c r="D202" s="5">
        <f t="shared" si="18"/>
        <v>93.51429595244521</v>
      </c>
      <c r="E202" s="4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</row>
    <row r="203" spans="1:16">
      <c r="A203" s="5">
        <f t="shared" si="19"/>
        <v>10.699999999999978</v>
      </c>
      <c r="B203" s="5">
        <f t="shared" si="17"/>
        <v>171.22398052399546</v>
      </c>
      <c r="C203" s="5">
        <f>(0.951*(E$26+(E$27-E$26)*A203/C$58)^0.729)*(1.009^E25)*(1.044^0)</f>
        <v>3.7897210581931424</v>
      </c>
      <c r="D203" s="5">
        <f t="shared" si="18"/>
        <v>92.478901074595072</v>
      </c>
      <c r="E203" s="4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</row>
    <row r="204" spans="1:16">
      <c r="A204" s="5">
        <f t="shared" si="19"/>
        <v>10.799999999999978</v>
      </c>
      <c r="B204" s="5">
        <f t="shared" si="17"/>
        <v>168.45484205937163</v>
      </c>
      <c r="C204" s="5">
        <f>(0.951*(E$26+(E$27-E$26)*A204/C$58)^0.729)*(1.009^E25)*(1.044^0)</f>
        <v>3.7909658148901588</v>
      </c>
      <c r="D204" s="5">
        <f t="shared" si="18"/>
        <v>91.448271839284317</v>
      </c>
      <c r="E204" s="4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</row>
    <row r="205" spans="1:16">
      <c r="A205" s="5">
        <f t="shared" si="19"/>
        <v>10.899999999999977</v>
      </c>
      <c r="B205" s="5">
        <f t="shared" si="17"/>
        <v>165.73048778801788</v>
      </c>
      <c r="C205" s="5">
        <f>(0.951*(E$26+(E$27-E$26)*A205/C$58)^0.729)*(1.009^E25)*(1.044^0)</f>
        <v>3.7922104196696598</v>
      </c>
      <c r="D205" s="5">
        <f t="shared" si="18"/>
        <v>90.422646071227007</v>
      </c>
      <c r="E205" s="4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</row>
    <row r="206" spans="1:16">
      <c r="A206" s="5">
        <f t="shared" si="19"/>
        <v>10.999999999999977</v>
      </c>
      <c r="B206" s="5">
        <f t="shared" si="17"/>
        <v>163.05019343269328</v>
      </c>
      <c r="C206" s="5">
        <f>(0.951*(E$26+(E$27-E$26)*A206/C$58)^0.729)*(1.009^E25)*(1.044^0)</f>
        <v>3.7934548726185673</v>
      </c>
      <c r="D206" s="5">
        <f t="shared" si="18"/>
        <v>89.402249161725919</v>
      </c>
      <c r="E206" s="4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</row>
    <row r="207" spans="1:16">
      <c r="A207" s="5">
        <f t="shared" si="19"/>
        <v>11.099999999999977</v>
      </c>
      <c r="B207" s="5">
        <f t="shared" si="17"/>
        <v>160.41324642960947</v>
      </c>
      <c r="C207" s="5">
        <f>(0.951*(E$26+(E$27-E$26)*A207/C$58)^0.729)*(1.009^E25)*(1.044^0)</f>
        <v>3.7946991738237088</v>
      </c>
      <c r="D207" s="5">
        <f t="shared" si="18"/>
        <v>88.387294511102269</v>
      </c>
      <c r="E207" s="4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</row>
    <row r="208" spans="1:16">
      <c r="A208" s="5">
        <f t="shared" si="19"/>
        <v>11.199999999999976</v>
      </c>
      <c r="B208" s="5">
        <f t="shared" si="17"/>
        <v>157.81894573899353</v>
      </c>
      <c r="C208" s="5">
        <f>(0.951*(E$26+(E$27-E$26)*A208/C$58)^0.729)*(1.009^E25)*(1.044^0)</f>
        <v>3.7959433233718265</v>
      </c>
      <c r="D208" s="5">
        <f t="shared" si="18"/>
        <v>87.377983957009945</v>
      </c>
      <c r="E208" s="4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</row>
    <row r="209" spans="1:16">
      <c r="A209" s="5">
        <f t="shared" si="19"/>
        <v>11.299999999999976</v>
      </c>
      <c r="B209" s="5">
        <f t="shared" si="17"/>
        <v>155.26660165871451</v>
      </c>
      <c r="C209" s="5">
        <f>(0.951*(E$26+(E$27-E$26)*A209/C$58)^0.729)*(1.009^E25)*(1.044^0)</f>
        <v>3.7971873213495715</v>
      </c>
      <c r="D209" s="5">
        <f t="shared" si="18"/>
        <v>86.374508189067896</v>
      </c>
      <c r="E209" s="4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</row>
    <row r="210" spans="1:16">
      <c r="A210" s="5">
        <f t="shared" si="19"/>
        <v>11.399999999999975</v>
      </c>
      <c r="B210" s="5">
        <f t="shared" si="17"/>
        <v>152.75553564092434</v>
      </c>
      <c r="C210" s="5">
        <f>(0.951*(E$26+(E$27-E$26)*A210/C$58)^0.729)*(1.009^E25)*(1.044^0)</f>
        <v>3.7984311678435096</v>
      </c>
      <c r="D210" s="5">
        <f t="shared" si="18"/>
        <v>85.377047150230723</v>
      </c>
      <c r="E210" s="4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</row>
    <row r="211" spans="1:16">
      <c r="A211" s="5">
        <f t="shared" si="19"/>
        <v>11.499999999999975</v>
      </c>
      <c r="B211" s="5">
        <f t="shared" si="17"/>
        <v>150.28508011166383</v>
      </c>
      <c r="C211" s="5">
        <f>(0.951*(E$26+(E$27-E$26)*A211/C$58)^0.729)*(1.009^E25)*(1.044^0)</f>
        <v>3.799674862940114</v>
      </c>
      <c r="D211" s="5">
        <f t="shared" si="18"/>
        <v>84.385770425305836</v>
      </c>
      <c r="E211" s="4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</row>
    <row r="212" spans="1:16">
      <c r="A212" s="5">
        <f t="shared" si="19"/>
        <v>11.599999999999975</v>
      </c>
      <c r="B212" s="5">
        <f t="shared" si="17"/>
        <v>147.85457829338631</v>
      </c>
      <c r="C212" s="5">
        <f>(0.951*(E$26+(E$27-E$26)*A212/C$58)^0.729)*(1.009^E25)*(1.044^0)</f>
        <v>3.8009184067257746</v>
      </c>
      <c r="D212" s="5">
        <f t="shared" si="18"/>
        <v>83.400837617011604</v>
      </c>
      <c r="E212" s="4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</row>
    <row r="213" spans="1:16">
      <c r="A213" s="5">
        <f t="shared" si="19"/>
        <v>11.699999999999974</v>
      </c>
      <c r="B213" s="5">
        <f t="shared" si="17"/>
        <v>145.46338403035153</v>
      </c>
      <c r="C213" s="5">
        <f>(0.951*(E$26+(E$27-E$26)*A213/C$58)^0.729)*(1.009^E25)*(1.044^0)</f>
        <v>3.8021617992867895</v>
      </c>
      <c r="D213" s="5">
        <f t="shared" si="18"/>
        <v>82.42239870996066</v>
      </c>
      <c r="E213" s="4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</row>
    <row r="214" spans="1:16">
      <c r="A214" s="5">
        <f t="shared" si="19"/>
        <v>11.799999999999974</v>
      </c>
      <c r="B214" s="5">
        <f t="shared" si="17"/>
        <v>143.11086161684329</v>
      </c>
      <c r="C214" s="5">
        <f>(0.951*(E$26+(E$27-E$26)*A214/C$58)^0.729)*(1.009^E25)*(1.044^0)</f>
        <v>3.8034050407093711</v>
      </c>
      <c r="D214" s="5">
        <f t="shared" si="18"/>
        <v>81.450594422939105</v>
      </c>
      <c r="E214" s="4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</row>
    <row r="215" spans="1:16">
      <c r="A215" s="5">
        <f t="shared" si="19"/>
        <v>11.899999999999974</v>
      </c>
      <c r="B215" s="5">
        <f t="shared" si="17"/>
        <v>140.7963856281653</v>
      </c>
      <c r="C215" s="5">
        <f>(0.951*(E$26+(E$27-E$26)*A215/C$58)^0.729)*(1.009^E25)*(1.044^0)</f>
        <v>3.8046481310796421</v>
      </c>
      <c r="D215" s="5">
        <f t="shared" si="18"/>
        <v>80.485556549842102</v>
      </c>
      <c r="E215" s="4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</row>
    <row r="216" spans="1:16">
      <c r="A216" s="5">
        <f t="shared" si="19"/>
        <v>11.999999999999973</v>
      </c>
      <c r="B216" s="5">
        <f t="shared" si="17"/>
        <v>138.51934075437015</v>
      </c>
      <c r="C216" s="5">
        <f>(0.951*(E$26+(E$27-E$26)*A216/C$58)^0.729)*(1.009^E25)*(1.044^0)</f>
        <v>3.8058910704836397</v>
      </c>
      <c r="D216" s="5">
        <f t="shared" si="18"/>
        <v>79.527408289615678</v>
      </c>
      <c r="E216" s="4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</row>
    <row r="217" spans="1:16">
      <c r="A217" s="5">
        <f t="shared" si="19"/>
        <v>12.099999999999973</v>
      </c>
      <c r="B217" s="5">
        <f t="shared" si="17"/>
        <v>136.27912163667764</v>
      </c>
      <c r="C217" s="5">
        <f>(0.951*(E$26+(E$27-E$26)*A217/C$58)^0.729)*(1.009^E25)*(1.044^0)</f>
        <v>3.8071338590073123</v>
      </c>
      <c r="D217" s="5">
        <f t="shared" si="18"/>
        <v>78.576264565542687</v>
      </c>
      <c r="E217" s="4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</row>
    <row r="218" spans="1:16">
      <c r="A218" s="5">
        <f t="shared" si="19"/>
        <v>12.199999999999973</v>
      </c>
      <c r="B218" s="5">
        <f t="shared" si="17"/>
        <v>134.07513270653831</v>
      </c>
      <c r="C218" s="5">
        <f>(0.951*(E$26+(E$27-E$26)*A218/C$58)^0.729)*(1.009^E25)*(1.044^0)</f>
        <v>3.8083764967365212</v>
      </c>
      <c r="D218" s="5">
        <f t="shared" si="18"/>
        <v>77.632232334201674</v>
      </c>
      <c r="E218" s="4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</row>
    <row r="219" spans="1:16">
      <c r="A219" s="5">
        <f t="shared" si="19"/>
        <v>12.299999999999972</v>
      </c>
      <c r="B219" s="5">
        <f t="shared" si="17"/>
        <v>131.90678802729994</v>
      </c>
      <c r="C219" s="5">
        <f>(0.951*(E$26+(E$27-E$26)*A219/C$58)^0.729)*(1.009^E25)*(1.044^0)</f>
        <v>3.8096189837570389</v>
      </c>
      <c r="D219" s="5">
        <f t="shared" si="18"/>
        <v>76.695410884417058</v>
      </c>
      <c r="E219" s="4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</row>
    <row r="220" spans="1:16">
      <c r="A220" s="5">
        <f t="shared" si="19"/>
        <v>12.399999999999972</v>
      </c>
      <c r="B220" s="5">
        <f t="shared" si="17"/>
        <v>129.77351113843451</v>
      </c>
      <c r="C220" s="5">
        <f>(0.951*(E$26+(E$27-E$26)*A220/C$58)^0.729)*(1.009^E25)*(1.044^0)</f>
        <v>3.8108613201545536</v>
      </c>
      <c r="D220" s="5">
        <f t="shared" si="18"/>
        <v>75.765892126509215</v>
      </c>
      <c r="E220" s="4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</row>
    <row r="221" spans="1:16">
      <c r="A221" s="5">
        <f t="shared" si="19"/>
        <v>12.499999999999972</v>
      </c>
      <c r="B221" s="5">
        <f t="shared" si="17"/>
        <v>127.67473490228477</v>
      </c>
      <c r="C221" s="5">
        <f>(0.951*(E$26+(E$27-E$26)*A221/C$58)^0.729)*(1.009^E25)*(1.044^0)</f>
        <v>3.8121035060146653</v>
      </c>
      <c r="D221" s="5">
        <f t="shared" si="18"/>
        <v>74.843760872143832</v>
      </c>
      <c r="E221" s="4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</row>
    <row r="222" spans="1:16">
      <c r="A222" s="5">
        <f t="shared" si="19"/>
        <v>12.599999999999971</v>
      </c>
      <c r="B222" s="5">
        <f t="shared" si="17"/>
        <v>125.60990135328885</v>
      </c>
      <c r="C222" s="5">
        <f>(0.951*(E$26+(E$27-E$26)*A222/C$58)^0.729)*(1.009^E25)*(1.044^0)</f>
        <v>3.8133455414228856</v>
      </c>
      <c r="D222" s="5">
        <f t="shared" si="18"/>
        <v>73.929095105070758</v>
      </c>
      <c r="E222" s="4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</row>
    <row r="223" spans="1:16">
      <c r="A223" s="5">
        <f t="shared" si="19"/>
        <v>12.699999999999971</v>
      </c>
      <c r="B223" s="5">
        <f t="shared" si="17"/>
        <v>123.57846154964376</v>
      </c>
      <c r="C223" s="5">
        <f>(0.951*(E$26+(E$27-E$26)*A223/C$58)^0.729)*(1.009^E25)*(1.044^0)</f>
        <v>3.8145874264646422</v>
      </c>
      <c r="D223" s="5">
        <f t="shared" si="18"/>
        <v>73.021966243033859</v>
      </c>
      <c r="E223" s="4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</row>
    <row r="224" spans="1:16">
      <c r="A224" s="5">
        <f t="shared" si="19"/>
        <v>12.799999999999971</v>
      </c>
      <c r="B224" s="5">
        <f t="shared" ref="B224:B287" si="20">F$63*EXP(-F$64*A224)</f>
        <v>121.5798754273675</v>
      </c>
      <c r="C224" s="5">
        <f>(0.951*(E$26+(E$27-E$26)*A224/C$58)^0.729)*(1.009^E25)*(1.044^0)</f>
        <v>3.8158291612252744</v>
      </c>
      <c r="D224" s="5">
        <f t="shared" ref="D224:D287" si="21">$F$63*$F$66/($F$65/C224-$F$64)/C224*(EXP(-$F$64*A224)-EXP(-$F$65/C224*A224))</f>
        <v>72.122439391124345</v>
      </c>
      <c r="E224" s="4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</row>
    <row r="225" spans="1:16">
      <c r="A225" s="5">
        <f t="shared" ref="A225:A288" si="22">A224+0.1</f>
        <v>12.89999999999997</v>
      </c>
      <c r="B225" s="5">
        <f t="shared" si="20"/>
        <v>119.61361165672167</v>
      </c>
      <c r="C225" s="5">
        <f>(0.951*(E$26+(E$27-E$26)*A225/C$58)^0.729)*(1.009^E25)*(1.044^0)</f>
        <v>3.8170707457900339</v>
      </c>
      <c r="D225" s="5">
        <f t="shared" si="21"/>
        <v>71.230573586842667</v>
      </c>
      <c r="E225" s="4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</row>
    <row r="226" spans="1:16">
      <c r="A226" s="5">
        <f t="shared" si="22"/>
        <v>12.99999999999997</v>
      </c>
      <c r="B226" s="5">
        <f t="shared" si="20"/>
        <v>117.67914750095588</v>
      </c>
      <c r="C226" s="5">
        <f>(0.951*(E$26+(E$27-E$26)*A226/C$58)^0.729)*(1.009^E25)*(1.044^0)</f>
        <v>3.8183121802440887</v>
      </c>
      <c r="D226" s="5">
        <f t="shared" si="21"/>
        <v>70.34642203712481</v>
      </c>
      <c r="E226" s="4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</row>
    <row r="227" spans="1:16">
      <c r="A227" s="5">
        <f t="shared" si="22"/>
        <v>13.099999999999969</v>
      </c>
      <c r="B227" s="5">
        <f t="shared" si="20"/>
        <v>115.77596867733676</v>
      </c>
      <c r="C227" s="5">
        <f>(0.951*(E$26+(E$27-E$26)*A227/C$58)^0.729)*(1.009^E25)*(1.044^0)</f>
        <v>3.8195534646725195</v>
      </c>
      <c r="D227" s="5">
        <f t="shared" si="21"/>
        <v>69.470032347582688</v>
      </c>
      <c r="E227" s="4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</row>
    <row r="228" spans="1:16">
      <c r="A228" s="5">
        <f t="shared" si="22"/>
        <v>13.199999999999969</v>
      </c>
      <c r="B228" s="5">
        <f t="shared" si="20"/>
        <v>113.90356922042443</v>
      </c>
      <c r="C228" s="5">
        <f>(0.951*(E$26+(E$27-E$26)*A228/C$58)^0.729)*(1.009^E25)*(1.044^0)</f>
        <v>3.8207945991603185</v>
      </c>
      <c r="D228" s="5">
        <f t="shared" si="21"/>
        <v>68.601446744198412</v>
      </c>
      <c r="E228" s="4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</row>
    <row r="229" spans="1:16">
      <c r="A229" s="5">
        <f t="shared" si="22"/>
        <v>13.299999999999969</v>
      </c>
      <c r="B229" s="5">
        <f t="shared" si="20"/>
        <v>112.06145134756012</v>
      </c>
      <c r="C229" s="5">
        <f>(0.951*(E$26+(E$27-E$26)*A229/C$58)^0.729)*(1.009^E25)*(1.044^0)</f>
        <v>3.8220355837923967</v>
      </c>
      <c r="D229" s="5">
        <f t="shared" si="21"/>
        <v>67.740702287707578</v>
      </c>
      <c r="E229" s="4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</row>
    <row r="230" spans="1:16">
      <c r="A230" s="5">
        <f t="shared" si="22"/>
        <v>13.399999999999968</v>
      </c>
      <c r="B230" s="5">
        <f t="shared" si="20"/>
        <v>110.24912532652937</v>
      </c>
      <c r="C230" s="5">
        <f>(0.951*(E$26+(E$27-E$26)*A230/C$58)^0.729)*(1.009^E25)*(1.044^0)</f>
        <v>3.8232764186535739</v>
      </c>
      <c r="D230" s="5">
        <f t="shared" si="21"/>
        <v>66.887831080897328</v>
      </c>
      <c r="E230" s="4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</row>
    <row r="231" spans="1:16">
      <c r="A231" s="5">
        <f t="shared" si="22"/>
        <v>13.499999999999968</v>
      </c>
      <c r="B231" s="5">
        <f t="shared" si="20"/>
        <v>108.46610934536518</v>
      </c>
      <c r="C231" s="5">
        <f>(0.951*(E$26+(E$27-E$26)*A231/C$58)^0.729)*(1.009^E25)*(1.044^0)</f>
        <v>3.8245171038285894</v>
      </c>
      <c r="D231" s="5">
        <f t="shared" si="21"/>
        <v>66.042860469039823</v>
      </c>
      <c r="E231" s="4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</row>
    <row r="232" spans="1:16">
      <c r="A232" s="5">
        <f t="shared" si="22"/>
        <v>13.599999999999968</v>
      </c>
      <c r="B232" s="5">
        <f t="shared" si="20"/>
        <v>106.71192938425713</v>
      </c>
      <c r="C232" s="5">
        <f>(0.951*(E$26+(E$27-E$26)*A232/C$58)^0.729)*(1.009^E25)*(1.044^0)</f>
        <v>3.825757639402092</v>
      </c>
      <c r="D232" s="5">
        <f t="shared" si="21"/>
        <v>65.205813233673055</v>
      </c>
      <c r="E232" s="4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</row>
    <row r="233" spans="1:16">
      <c r="A233" s="5">
        <f t="shared" si="22"/>
        <v>13.699999999999967</v>
      </c>
      <c r="B233" s="5">
        <f t="shared" si="20"/>
        <v>104.98611908953175</v>
      </c>
      <c r="C233" s="5">
        <f>(0.951*(E$26+(E$27-E$26)*A233/C$58)^0.729)*(1.009^E25)*(1.044^0)</f>
        <v>3.8269980254586478</v>
      </c>
      <c r="D233" s="5">
        <f t="shared" si="21"/>
        <v>64.376707779937206</v>
      </c>
      <c r="E233" s="4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</row>
    <row r="234" spans="1:16">
      <c r="A234" s="5">
        <f t="shared" si="22"/>
        <v>13.799999999999967</v>
      </c>
      <c r="B234" s="5">
        <f t="shared" si="20"/>
        <v>103.28821964967112</v>
      </c>
      <c r="C234" s="5">
        <f>(0.951*(E$26+(E$27-E$26)*A234/C$58)^0.729)*(1.009^E25)*(1.044^0)</f>
        <v>3.8282382620827384</v>
      </c>
      <c r="D234" s="5">
        <f t="shared" si="21"/>
        <v>63.555558317665657</v>
      </c>
      <c r="E234" s="4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</row>
    <row r="235" spans="1:16">
      <c r="A235" s="5">
        <f t="shared" si="22"/>
        <v>13.899999999999967</v>
      </c>
      <c r="B235" s="5">
        <f t="shared" si="20"/>
        <v>101.6177796733365</v>
      </c>
      <c r="C235" s="5">
        <f>(0.951*(E$26+(E$27-E$26)*A235/C$58)^0.729)*(1.009^E25)*(1.044^0)</f>
        <v>3.8294783493587579</v>
      </c>
      <c r="D235" s="5">
        <f t="shared" si="21"/>
        <v>62.742375036425294</v>
      </c>
      <c r="E235" s="4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</row>
    <row r="236" spans="1:16">
      <c r="A236" s="5">
        <f t="shared" si="22"/>
        <v>13.999999999999966</v>
      </c>
      <c r="B236" s="5">
        <f t="shared" si="20"/>
        <v>99.97435506936479</v>
      </c>
      <c r="C236" s="5">
        <f>(0.951*(E$26+(E$27-E$26)*A236/C$58)^0.729)*(1.009^E25)*(1.044^0)</f>
        <v>3.8307182873710142</v>
      </c>
      <c r="D236" s="5">
        <f t="shared" si="21"/>
        <v>61.937164274694908</v>
      </c>
      <c r="E236" s="4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</row>
    <row r="237" spans="1:16">
      <c r="A237" s="5">
        <f t="shared" si="22"/>
        <v>14.099999999999966</v>
      </c>
      <c r="B237" s="5">
        <f t="shared" si="20"/>
        <v>98.357508928705528</v>
      </c>
      <c r="C237" s="5">
        <f>(0.951*(E$26+(E$27-E$26)*A237/C$58)^0.729)*(1.009^E25)*(1.044^0)</f>
        <v>3.8319580762037346</v>
      </c>
      <c r="D237" s="5">
        <f t="shared" si="21"/>
        <v>61.139928683363735</v>
      </c>
      <c r="E237" s="4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</row>
    <row r="238" spans="1:16">
      <c r="A238" s="5">
        <f t="shared" si="22"/>
        <v>14.199999999999966</v>
      </c>
      <c r="B238" s="5">
        <f t="shared" si="20"/>
        <v>96.766811408267415</v>
      </c>
      <c r="C238" s="5">
        <f>(0.951*(E$26+(E$27-E$26)*A238/C$58)^0.729)*(1.009^E25)*(1.044^0)</f>
        <v>3.8331977159410586</v>
      </c>
      <c r="D238" s="5">
        <f t="shared" si="21"/>
        <v>60.350667383727419</v>
      </c>
      <c r="E238" s="4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</row>
    <row r="239" spans="1:16">
      <c r="A239" s="5">
        <f t="shared" si="22"/>
        <v>14.299999999999965</v>
      </c>
      <c r="B239" s="5">
        <f t="shared" si="20"/>
        <v>95.201839616643397</v>
      </c>
      <c r="C239" s="5">
        <f>(0.951*(E$26+(E$27-E$26)*A239/C$58)^0.729)*(1.009^E25)*(1.044^0)</f>
        <v>3.8344372066670402</v>
      </c>
      <c r="D239" s="5">
        <f t="shared" si="21"/>
        <v>59.569376120153379</v>
      </c>
      <c r="E239" s="4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</row>
    <row r="240" spans="1:16">
      <c r="A240" s="5">
        <f t="shared" si="22"/>
        <v>14.399999999999965</v>
      </c>
      <c r="B240" s="5">
        <f t="shared" si="20"/>
        <v>93.662177501683658</v>
      </c>
      <c r="C240" s="5">
        <f>(0.951*(E$26+(E$27-E$26)*A240/C$58)^0.729)*(1.009^E25)*(1.044^0)</f>
        <v>3.8356765484656501</v>
      </c>
      <c r="D240" s="5">
        <f t="shared" si="21"/>
        <v>58.796047407581483</v>
      </c>
      <c r="E240" s="4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</row>
    <row r="241" spans="1:16">
      <c r="A241" s="5">
        <f t="shared" si="22"/>
        <v>14.499999999999964</v>
      </c>
      <c r="B241" s="5">
        <f t="shared" si="20"/>
        <v>92.147415739887165</v>
      </c>
      <c r="C241" s="5">
        <f>(0.951*(E$26+(E$27-E$26)*A241/C$58)^0.729)*(1.009^E25)*(1.044^0)</f>
        <v>3.8369157414207757</v>
      </c>
      <c r="D241" s="5">
        <f t="shared" si="21"/>
        <v>58.030670674022161</v>
      </c>
      <c r="E241" s="4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</row>
    <row r="242" spans="1:16">
      <c r="A242" s="5">
        <f t="shared" si="22"/>
        <v>14.599999999999964</v>
      </c>
      <c r="B242" s="5">
        <f t="shared" si="20"/>
        <v>90.657151627581655</v>
      </c>
      <c r="C242" s="5">
        <f>(0.951*(E$26+(E$27-E$26)*A242/C$58)^0.729)*(1.009^E25)*(1.044^0)</f>
        <v>3.8381547856162181</v>
      </c>
      <c r="D242" s="5">
        <f t="shared" si="21"/>
        <v>57.273232398207568</v>
      </c>
      <c r="E242" s="4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</row>
    <row r="243" spans="1:16">
      <c r="A243" s="5">
        <f t="shared" si="22"/>
        <v>14.699999999999964</v>
      </c>
      <c r="B243" s="5">
        <f t="shared" si="20"/>
        <v>89.190988973863938</v>
      </c>
      <c r="C243" s="5">
        <f>(0.951*(E$26+(E$27-E$26)*A243/C$58)^0.729)*(1.009^E25)*(1.044^0)</f>
        <v>3.839393681135693</v>
      </c>
      <c r="D243" s="5">
        <f t="shared" si="21"/>
        <v>56.523716242548574</v>
      </c>
      <c r="E243" s="4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</row>
    <row r="244" spans="1:16">
      <c r="A244" s="5">
        <f t="shared" si="22"/>
        <v>14.799999999999963</v>
      </c>
      <c r="B244" s="5">
        <f t="shared" si="20"/>
        <v>87.748537995271278</v>
      </c>
      <c r="C244" s="5">
        <f>(0.951*(E$26+(E$27-E$26)*A244/C$58)^0.729)*(1.009^E25)*(1.044^0)</f>
        <v>3.8406324280628361</v>
      </c>
      <c r="D244" s="5">
        <f t="shared" si="21"/>
        <v>55.782103181543732</v>
      </c>
      <c r="E244" s="4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</row>
    <row r="245" spans="1:16">
      <c r="A245" s="5">
        <f t="shared" si="22"/>
        <v>14.899999999999963</v>
      </c>
      <c r="B245" s="5">
        <f t="shared" si="20"/>
        <v>86.329415212156448</v>
      </c>
      <c r="C245" s="5">
        <f>(0.951*(E$26+(E$27-E$26)*A245/C$58)^0.729)*(1.009^E25)*(1.044^0)</f>
        <v>3.8418710264811948</v>
      </c>
      <c r="D245" s="5">
        <f t="shared" si="21"/>
        <v>55.048371625783425</v>
      </c>
      <c r="E245" s="4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</row>
    <row r="246" spans="1:16">
      <c r="A246" s="5">
        <f t="shared" si="22"/>
        <v>14.999999999999963</v>
      </c>
      <c r="B246" s="5">
        <f t="shared" si="20"/>
        <v>84.933243346738536</v>
      </c>
      <c r="C246" s="5">
        <f>(0.951*(E$26+(E$27-E$26)*A246/C$58)^0.729)*(1.009^E25)*(1.044^0)</f>
        <v>3.8431094764742353</v>
      </c>
      <c r="D246" s="5">
        <f t="shared" si="21"/>
        <v>54.32249754168739</v>
      </c>
      <c r="E246" s="4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</row>
    <row r="247" spans="1:16">
      <c r="A247" s="5">
        <f t="shared" si="22"/>
        <v>15.099999999999962</v>
      </c>
      <c r="B247" s="5">
        <f t="shared" si="20"/>
        <v>83.559651222802657</v>
      </c>
      <c r="C247" s="5">
        <f>(0.951*(E$26+(E$27-E$26)*A247/C$58)^0.729)*(1.009^E25)*(1.044^0)</f>
        <v>3.8443477781253388</v>
      </c>
      <c r="D247" s="5">
        <f t="shared" si="21"/>
        <v>53.604454567109677</v>
      </c>
      <c r="E247" s="4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</row>
    <row r="248" spans="1:16">
      <c r="A248" s="5">
        <f t="shared" si="22"/>
        <v>15.199999999999962</v>
      </c>
      <c r="B248" s="5">
        <f t="shared" si="20"/>
        <v>82.208273667021629</v>
      </c>
      <c r="C248" s="5">
        <f>(0.951*(E$26+(E$27-E$26)*A248/C$58)^0.729)*(1.009^E25)*(1.044^0)</f>
        <v>3.8455859315178023</v>
      </c>
      <c r="D248" s="5">
        <f t="shared" si="21"/>
        <v>52.894214122940923</v>
      </c>
      <c r="E248" s="4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</row>
    <row r="249" spans="1:16">
      <c r="A249" s="5">
        <f t="shared" si="22"/>
        <v>15.299999999999962</v>
      </c>
      <c r="B249" s="5">
        <f t="shared" si="20"/>
        <v>80.878751411873665</v>
      </c>
      <c r="C249" s="5">
        <f>(0.951*(E$26+(E$27-E$26)*A249/C$58)^0.729)*(1.009^E25)*(1.044^0)</f>
        <v>3.8468239367348414</v>
      </c>
      <c r="D249" s="5">
        <f t="shared" si="21"/>
        <v>52.191745520834196</v>
      </c>
      <c r="E249" s="4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</row>
    <row r="250" spans="1:16">
      <c r="A250" s="5">
        <f t="shared" si="22"/>
        <v>15.399999999999961</v>
      </c>
      <c r="B250" s="5">
        <f t="shared" si="20"/>
        <v>79.570731000130095</v>
      </c>
      <c r="C250" s="5">
        <f>(0.951*(E$26+(E$27-E$26)*A250/C$58)^0.729)*(1.009^E25)*(1.044^0)</f>
        <v>3.848061793859586</v>
      </c>
      <c r="D250" s="5">
        <f t="shared" si="21"/>
        <v>51.497016067176375</v>
      </c>
      <c r="E250" s="4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</row>
    <row r="251" spans="1:16">
      <c r="A251" s="5">
        <f t="shared" si="22"/>
        <v>15.499999999999961</v>
      </c>
      <c r="B251" s="5">
        <f t="shared" si="20"/>
        <v>78.283864690887754</v>
      </c>
      <c r="C251" s="5">
        <f>(0.951*(E$26+(E$27-E$26)*A251/C$58)^0.729)*(1.009^E25)*(1.044^0)</f>
        <v>3.8492995029750854</v>
      </c>
      <c r="D251" s="5">
        <f t="shared" si="21"/>
        <v>50.809991163423938</v>
      </c>
      <c r="E251" s="4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</row>
    <row r="252" spans="1:16">
      <c r="A252" s="5">
        <f t="shared" si="22"/>
        <v>15.599999999999961</v>
      </c>
      <c r="B252" s="5">
        <f t="shared" si="20"/>
        <v>77.017810367121072</v>
      </c>
      <c r="C252" s="5">
        <f>(0.951*(E$26+(E$27-E$26)*A252/C$58)^0.729)*(1.009^E25)*(1.044^0)</f>
        <v>3.8505370641643029</v>
      </c>
      <c r="D252" s="5">
        <f t="shared" si="21"/>
        <v>50.130634402917408</v>
      </c>
      <c r="E252" s="4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</row>
    <row r="253" spans="1:16">
      <c r="A253" s="5">
        <f t="shared" si="22"/>
        <v>15.69999999999996</v>
      </c>
      <c r="B253" s="5">
        <f t="shared" si="20"/>
        <v>75.772231444729343</v>
      </c>
      <c r="C253" s="5">
        <f>(0.951*(E$26+(E$27-E$26)*A253/C$58)^0.729)*(1.009^E25)*(1.044^0)</f>
        <v>3.8517744775101179</v>
      </c>
      <c r="D253" s="5">
        <f t="shared" si="21"/>
        <v>49.458907664286464</v>
      </c>
      <c r="E253" s="4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</row>
    <row r="254" spans="1:16">
      <c r="A254" s="5">
        <f t="shared" si="22"/>
        <v>15.79999999999996</v>
      </c>
      <c r="B254" s="5">
        <f t="shared" si="20"/>
        <v>74.546796783054873</v>
      </c>
      <c r="C254" s="5">
        <f>(0.951*(E$26+(E$27-E$26)*A254/C$58)^0.729)*(1.009^E25)*(1.044^0)</f>
        <v>3.8530117430953323</v>
      </c>
      <c r="D254" s="5">
        <f t="shared" si="21"/>
        <v>48.794771201553218</v>
      </c>
      <c r="E254" s="4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</row>
    <row r="255" spans="1:16">
      <c r="A255" s="5">
        <f t="shared" si="22"/>
        <v>15.899999999999959</v>
      </c>
      <c r="B255" s="5">
        <f t="shared" si="20"/>
        <v>73.341180596848261</v>
      </c>
      <c r="C255" s="5">
        <f>(0.951*(E$26+(E$27-E$26)*A255/C$58)^0.729)*(1.009^E25)*(1.044^0)</f>
        <v>3.8542488610026595</v>
      </c>
      <c r="D255" s="5">
        <f t="shared" si="21"/>
        <v>48.13818373103868</v>
      </c>
      <c r="E255" s="4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</row>
    <row r="256" spans="1:16">
      <c r="A256" s="5">
        <f t="shared" si="22"/>
        <v>15.999999999999959</v>
      </c>
      <c r="B256" s="5">
        <f t="shared" si="20"/>
        <v>72.155062369657557</v>
      </c>
      <c r="C256" s="5">
        <f>(0.951*(E$26+(E$27-E$26)*A256/C$58)^0.729)*(1.009^E25)*(1.044^0)</f>
        <v>3.8554858313147338</v>
      </c>
      <c r="D256" s="5">
        <f t="shared" si="21"/>
        <v>47.489102515173485</v>
      </c>
      <c r="E256" s="4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</row>
    <row r="257" spans="1:16">
      <c r="A257" s="5">
        <f t="shared" si="22"/>
        <v>16.099999999999959</v>
      </c>
      <c r="B257" s="5">
        <f t="shared" si="20"/>
        <v>70.988126768618017</v>
      </c>
      <c r="C257" s="5">
        <f>(0.951*(E$26+(E$27-E$26)*A257/C$58)^0.729)*(1.009^E25)*(1.044^0)</f>
        <v>3.8567226541141042</v>
      </c>
      <c r="D257" s="5">
        <f t="shared" si="21"/>
        <v>46.847483443311702</v>
      </c>
      <c r="E257" s="4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</row>
    <row r="258" spans="1:16">
      <c r="A258" s="5">
        <f t="shared" si="22"/>
        <v>16.19999999999996</v>
      </c>
      <c r="B258" s="5">
        <f t="shared" si="20"/>
        <v>69.840063560619939</v>
      </c>
      <c r="C258" s="5">
        <f>(0.951*(E$26+(E$27-E$26)*A258/C$58)^0.729)*(1.009^E25)*(1.044^0)</f>
        <v>3.8579593294832386</v>
      </c>
      <c r="D258" s="5">
        <f t="shared" si="21"/>
        <v>46.213281109642729</v>
      </c>
      <c r="E258" s="4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</row>
    <row r="259" spans="1:16">
      <c r="A259" s="5">
        <f t="shared" si="22"/>
        <v>16.299999999999962</v>
      </c>
      <c r="B259" s="5">
        <f t="shared" si="20"/>
        <v>68.710567529832446</v>
      </c>
      <c r="C259" s="5">
        <f>(0.951*(E$26+(E$27-E$26)*A259/C$58)^0.729)*(1.009^E25)*(1.044^0)</f>
        <v>3.859195857504524</v>
      </c>
      <c r="D259" s="5">
        <f t="shared" si="21"/>
        <v>45.586448888294179</v>
      </c>
      <c r="E259" s="4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</row>
    <row r="260" spans="1:16">
      <c r="A260" s="5">
        <f t="shared" si="22"/>
        <v>16.399999999999963</v>
      </c>
      <c r="B260" s="5">
        <f t="shared" si="20"/>
        <v>67.599338396560825</v>
      </c>
      <c r="C260" s="5">
        <f>(0.951*(E$26+(E$27-E$26)*A260/C$58)^0.729)*(1.009^E25)*(1.044^0)</f>
        <v>3.8604322382602625</v>
      </c>
      <c r="D260" s="5">
        <f t="shared" si="21"/>
        <v>44.966939005714671</v>
      </c>
      <c r="E260" s="4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</row>
    <row r="261" spans="1:16">
      <c r="A261" s="5">
        <f t="shared" si="22"/>
        <v>16.499999999999964</v>
      </c>
      <c r="B261" s="5">
        <f t="shared" si="20"/>
        <v>66.50608073741644</v>
      </c>
      <c r="C261" s="5">
        <f>(0.951*(E$26+(E$27-E$26)*A261/C$58)^0.729)*(1.009^E25)*(1.044^0)</f>
        <v>3.861668471832675</v>
      </c>
      <c r="D261" s="5">
        <f t="shared" si="21"/>
        <v>44.354702610424376</v>
      </c>
      <c r="E261" s="4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</row>
    <row r="262" spans="1:16">
      <c r="A262" s="5">
        <f t="shared" si="22"/>
        <v>16.599999999999966</v>
      </c>
      <c r="B262" s="5">
        <f t="shared" si="20"/>
        <v>65.430503906777631</v>
      </c>
      <c r="C262" s="5">
        <f>(0.951*(E$26+(E$27-E$26)*A262/C$58)^0.729)*(1.009^E25)*(1.044^0)</f>
        <v>3.8629045583039017</v>
      </c>
      <c r="D262" s="5">
        <f t="shared" si="21"/>
        <v>43.749689840216632</v>
      </c>
      <c r="E262" s="4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</row>
    <row r="263" spans="1:16">
      <c r="A263" s="5">
        <f t="shared" si="22"/>
        <v>16.699999999999967</v>
      </c>
      <c r="B263" s="5">
        <f t="shared" si="20"/>
        <v>64.37232195952059</v>
      </c>
      <c r="C263" s="5">
        <f>(0.951*(E$26+(E$27-E$26)*A263/C$58)^0.729)*(1.009^E25)*(1.044^0)</f>
        <v>3.8641404977559994</v>
      </c>
      <c r="D263" s="5">
        <f t="shared" si="21"/>
        <v>43.151849886893025</v>
      </c>
      <c r="E263" s="4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</row>
    <row r="264" spans="1:16">
      <c r="A264" s="5">
        <f t="shared" si="22"/>
        <v>16.799999999999969</v>
      </c>
      <c r="B264" s="5">
        <f t="shared" si="20"/>
        <v>63.331253575000225</v>
      </c>
      <c r="C264" s="5">
        <f>(0.951*(E$26+(E$27-E$26)*A264/C$58)^0.729)*(1.009^E25)*(1.044^0)</f>
        <v>3.8653762902709436</v>
      </c>
      <c r="D264" s="5">
        <f t="shared" si="21"/>
        <v>42.561131058610648</v>
      </c>
      <c r="E264" s="4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</row>
    <row r="265" spans="1:16">
      <c r="A265" s="5">
        <f t="shared" si="22"/>
        <v>16.89999999999997</v>
      </c>
      <c r="B265" s="5">
        <f t="shared" si="20"/>
        <v>62.307021982260203</v>
      </c>
      <c r="C265" s="5">
        <f>(0.951*(E$26+(E$27-E$26)*A265/C$58)^0.729)*(1.009^E25)*(1.044^0)</f>
        <v>3.8666119359306288</v>
      </c>
      <c r="D265" s="5">
        <f t="shared" si="21"/>
        <v>41.977480839918428</v>
      </c>
      <c r="E265" s="4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</row>
    <row r="266" spans="1:16">
      <c r="A266" s="5">
        <f t="shared" si="22"/>
        <v>16.999999999999972</v>
      </c>
      <c r="B266" s="5">
        <f t="shared" si="20"/>
        <v>61.29935488645252</v>
      </c>
      <c r="C266" s="5">
        <f>(0.951*(E$26+(E$27-E$26)*A266/C$58)^0.729)*(1.009^E25)*(1.044^0)</f>
        <v>3.8678474348168663</v>
      </c>
      <c r="D266" s="5">
        <f t="shared" si="21"/>
        <v>41.400845949556896</v>
      </c>
      <c r="E266" s="4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</row>
    <row r="267" spans="1:16">
      <c r="A267" s="5">
        <f t="shared" si="22"/>
        <v>17.099999999999973</v>
      </c>
      <c r="B267" s="5">
        <f t="shared" si="20"/>
        <v>60.307984396447381</v>
      </c>
      <c r="C267" s="5">
        <f>(0.951*(E$26+(E$27-E$26)*A267/C$58)^0.729)*(1.009^E25)*(1.044^0)</f>
        <v>3.8690827870113895</v>
      </c>
      <c r="D267" s="5">
        <f t="shared" si="21"/>
        <v>40.831172396093756</v>
      </c>
      <c r="E267" s="4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</row>
    <row r="268" spans="1:16">
      <c r="A268" s="5">
        <f t="shared" si="22"/>
        <v>17.199999999999974</v>
      </c>
      <c r="B268" s="5">
        <f t="shared" si="20"/>
        <v>59.332646953613335</v>
      </c>
      <c r="C268" s="5">
        <f>(0.951*(E$26+(E$27-E$26)*A268/C$58)^0.729)*(1.009^E25)*(1.044^0)</f>
        <v>3.870317992595846</v>
      </c>
      <c r="D268" s="5">
        <f t="shared" si="21"/>
        <v>40.268405531464467</v>
      </c>
      <c r="E268" s="4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</row>
    <row r="269" spans="1:16">
      <c r="A269" s="5">
        <f t="shared" si="22"/>
        <v>17.299999999999976</v>
      </c>
      <c r="B269" s="5">
        <f t="shared" si="20"/>
        <v>58.373083261749642</v>
      </c>
      <c r="C269" s="5">
        <f>(0.951*(E$26+(E$27-E$26)*A269/C$58)^0.729)*(1.009^E25)*(1.044^0)</f>
        <v>3.8715530516518046</v>
      </c>
      <c r="D269" s="5">
        <f t="shared" si="21"/>
        <v>39.712490102486562</v>
      </c>
      <c r="E269" s="4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</row>
    <row r="270" spans="1:16">
      <c r="A270" s="5">
        <f t="shared" si="22"/>
        <v>17.399999999999977</v>
      </c>
      <c r="B270" s="5">
        <f t="shared" si="20"/>
        <v>57.429038218151625</v>
      </c>
      <c r="C270" s="5">
        <f>(0.951*(E$26+(E$27-E$26)*A270/C$58)^0.729)*(1.009^E25)*(1.044^0)</f>
        <v>3.8727879642607528</v>
      </c>
      <c r="D270" s="5">
        <f t="shared" si="21"/>
        <v>39.163370300412488</v>
      </c>
      <c r="E270" s="4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</row>
    <row r="271" spans="1:16">
      <c r="A271" s="5">
        <f t="shared" si="22"/>
        <v>17.499999999999979</v>
      </c>
      <c r="B271" s="5">
        <f t="shared" si="20"/>
        <v>56.500260845790777</v>
      </c>
      <c r="C271" s="5">
        <f>(0.951*(E$26+(E$27-E$26)*A271/C$58)^0.729)*(1.009^E25)*(1.044^0)</f>
        <v>3.8740227305040982</v>
      </c>
      <c r="D271" s="5">
        <f t="shared" si="21"/>
        <v>38.620989808585222</v>
      </c>
      <c r="E271" s="4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</row>
    <row r="272" spans="1:16">
      <c r="A272" s="5">
        <f t="shared" si="22"/>
        <v>17.59999999999998</v>
      </c>
      <c r="B272" s="5">
        <f t="shared" si="20"/>
        <v>55.586504226591998</v>
      </c>
      <c r="C272" s="5">
        <f>(0.951*(E$26+(E$27-E$26)*A272/C$58)^0.729)*(1.009^E25)*(1.044^0)</f>
        <v>3.8752573504631651</v>
      </c>
      <c r="D272" s="5">
        <f t="shared" si="21"/>
        <v>38.085291848258109</v>
      </c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</row>
    <row r="273" spans="1:16">
      <c r="A273" s="5">
        <f t="shared" si="22"/>
        <v>17.699999999999982</v>
      </c>
      <c r="B273" s="5">
        <f t="shared" si="20"/>
        <v>54.687525435789617</v>
      </c>
      <c r="C273" s="5">
        <f>(0.951*(E$26+(E$27-E$26)*A273/C$58)^0.729)*(1.009^E25)*(1.044^0)</f>
        <v>3.876491824219201</v>
      </c>
      <c r="D273" s="5">
        <f t="shared" si="21"/>
        <v>37.556219222638809</v>
      </c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</row>
    <row r="274" spans="1:16">
      <c r="A274" s="5">
        <f t="shared" si="22"/>
        <v>17.799999999999983</v>
      </c>
      <c r="B274" s="5">
        <f t="shared" si="20"/>
        <v>53.803085477345114</v>
      </c>
      <c r="C274" s="5">
        <f>(0.951*(E$26+(E$27-E$26)*A274/C$58)^0.729)*(1.009^E25)*(1.044^0)</f>
        <v>3.8777261518533677</v>
      </c>
      <c r="D274" s="5">
        <f t="shared" si="21"/>
        <v>37.033714359215068</v>
      </c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</row>
    <row r="275" spans="1:16">
      <c r="A275" s="5">
        <f t="shared" si="22"/>
        <v>17.899999999999984</v>
      </c>
      <c r="B275" s="5">
        <f t="shared" si="20"/>
        <v>52.932949220409512</v>
      </c>
      <c r="C275" s="5">
        <f>(0.951*(E$26+(E$27-E$26)*A275/C$58)^0.729)*(1.009^E25)*(1.044^0)</f>
        <v>3.8789603334467504</v>
      </c>
      <c r="D275" s="5">
        <f t="shared" si="21"/>
        <v>36.517719350419213</v>
      </c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</row>
    <row r="276" spans="1:16">
      <c r="A276" s="5">
        <f t="shared" si="22"/>
        <v>17.999999999999986</v>
      </c>
      <c r="B276" s="5">
        <f t="shared" si="20"/>
        <v>52.076885336813049</v>
      </c>
      <c r="C276" s="5">
        <f>(0.951*(E$26+(E$27-E$26)*A276/C$58)^0.729)*(1.009^E25)*(1.044^0)</f>
        <v>3.8801943690803524</v>
      </c>
      <c r="D276" s="5">
        <f t="shared" si="21"/>
        <v>36.008175992684926</v>
      </c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</row>
    <row r="277" spans="1:16">
      <c r="A277" s="5">
        <f t="shared" si="22"/>
        <v>18.099999999999987</v>
      </c>
      <c r="B277" s="5">
        <f t="shared" si="20"/>
        <v>51.234666239565925</v>
      </c>
      <c r="C277" s="5">
        <f>(0.951*(E$26+(E$27-E$26)*A277/C$58)^0.729)*(1.009^E25)*(1.044^0)</f>
        <v>3.8814282588350983</v>
      </c>
      <c r="D277" s="5">
        <f t="shared" si="21"/>
        <v>35.505025823949524</v>
      </c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</row>
    <row r="278" spans="1:16">
      <c r="A278" s="5">
        <f t="shared" si="22"/>
        <v>18.199999999999989</v>
      </c>
      <c r="B278" s="5">
        <f t="shared" si="20"/>
        <v>50.406068022353779</v>
      </c>
      <c r="C278" s="5">
        <f>(0.951*(E$26+(E$27-E$26)*A278/C$58)^0.729)*(1.009^E25)*(1.044^0)</f>
        <v>3.8826620027918297</v>
      </c>
      <c r="D278" s="5">
        <f t="shared" si="21"/>
        <v>35.008210159653203</v>
      </c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</row>
    <row r="279" spans="1:16">
      <c r="A279" s="5">
        <f t="shared" si="22"/>
        <v>18.29999999999999</v>
      </c>
      <c r="B279" s="5">
        <f t="shared" si="20"/>
        <v>49.590870400011468</v>
      </c>
      <c r="C279" s="5">
        <f>(0.951*(E$26+(E$27-E$26)*A279/C$58)^0.729)*(1.009^E25)*(1.044^0)</f>
        <v>3.8838956010313104</v>
      </c>
      <c r="D279" s="5">
        <f t="shared" si="21"/>
        <v>34.517670127284092</v>
      </c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</row>
    <row r="280" spans="1:16">
      <c r="A280" s="5">
        <f t="shared" si="22"/>
        <v>18.399999999999991</v>
      </c>
      <c r="B280" s="5">
        <f t="shared" si="20"/>
        <v>48.788856649959641</v>
      </c>
      <c r="C280" s="5">
        <f>(0.951*(E$26+(E$27-E$26)*A280/C$58)^0.729)*(1.009^E25)*(1.044^0)</f>
        <v>3.8851290536342247</v>
      </c>
      <c r="D280" s="5">
        <f t="shared" si="21"/>
        <v>34.033346699517722</v>
      </c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</row>
    <row r="281" spans="1:16">
      <c r="A281" s="5">
        <f t="shared" si="22"/>
        <v>18.499999999999993</v>
      </c>
      <c r="B281" s="5">
        <f t="shared" si="20"/>
        <v>47.999813554588471</v>
      </c>
      <c r="C281" s="5">
        <f>(0.951*(E$26+(E$27-E$26)*A281/C$58)^0.729)*(1.009^E25)*(1.044^0)</f>
        <v>3.8863623606811744</v>
      </c>
      <c r="D281" s="5">
        <f t="shared" si="21"/>
        <v>33.555180725997396</v>
      </c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</row>
    <row r="282" spans="1:16">
      <c r="A282" s="5">
        <f t="shared" si="22"/>
        <v>18.599999999999994</v>
      </c>
      <c r="B282" s="5">
        <f t="shared" si="20"/>
        <v>47.223531344573175</v>
      </c>
      <c r="C282" s="5">
        <f>(0.951*(E$26+(E$27-E$26)*A282/C$58)^0.729)*(1.009^E25)*(1.044^0)</f>
        <v>3.8875955222526848</v>
      </c>
      <c r="D282" s="5">
        <f t="shared" si="21"/>
        <v>33.083112963800367</v>
      </c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</row>
    <row r="283" spans="1:16">
      <c r="A283" s="5">
        <f t="shared" si="22"/>
        <v>18.699999999999996</v>
      </c>
      <c r="B283" s="5">
        <f t="shared" si="20"/>
        <v>46.45980364310612</v>
      </c>
      <c r="C283" s="5">
        <f>(0.951*(E$26+(E$27-E$26)*A283/C$58)^0.729)*(1.009^E25)*(1.044^0)</f>
        <v>3.8888285384292005</v>
      </c>
      <c r="D283" s="5">
        <f t="shared" si="21"/>
        <v>32.617084106633577</v>
      </c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</row>
    <row r="284" spans="1:16">
      <c r="A284" s="5">
        <f t="shared" si="22"/>
        <v>18.799999999999997</v>
      </c>
      <c r="B284" s="5">
        <f t="shared" si="20"/>
        <v>45.70842741103116</v>
      </c>
      <c r="C284" s="5">
        <f>(0.951*(E$26+(E$27-E$26)*A284/C$58)^0.729)*(1.009^E25)*(1.044^0)</f>
        <v>3.8900614092910839</v>
      </c>
      <c r="D284" s="5">
        <f t="shared" si="21"/>
        <v>32.157034812801712</v>
      </c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</row>
    <row r="285" spans="1:16">
      <c r="A285" s="5">
        <f t="shared" si="22"/>
        <v>18.899999999999999</v>
      </c>
      <c r="B285" s="5">
        <f t="shared" si="20"/>
        <v>44.969202892864914</v>
      </c>
      <c r="C285" s="5">
        <f>(0.951*(E$26+(E$27-E$26)*A285/C$58)^0.729)*(1.009^E25)*(1.044^0)</f>
        <v>3.8912941349186236</v>
      </c>
      <c r="D285" s="5">
        <f t="shared" si="21"/>
        <v>31.702905731988061</v>
      </c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</row>
    <row r="286" spans="1:16">
      <c r="A286" s="5">
        <f t="shared" si="22"/>
        <v>19</v>
      </c>
      <c r="B286" s="5">
        <f t="shared" si="20"/>
        <v>44.241933563691376</v>
      </c>
      <c r="C286" s="5">
        <f>(0.951*(E$26+(E$27-E$26)*A286/C$58)^0.729)*(1.009^E25)*(1.044^0)</f>
        <v>3.892526715392024</v>
      </c>
      <c r="D286" s="5">
        <f t="shared" si="21"/>
        <v>31.254637530888392</v>
      </c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</row>
    <row r="287" spans="1:16">
      <c r="A287" s="5">
        <f t="shared" si="22"/>
        <v>19.100000000000001</v>
      </c>
      <c r="B287" s="5">
        <f t="shared" si="20"/>
        <v>43.526426076915122</v>
      </c>
      <c r="C287" s="5">
        <f>(0.951*(E$26+(E$27-E$26)*A287/C$58)^0.729)*(1.009^E25)*(1.044^0)</f>
        <v>3.8937591507914138</v>
      </c>
      <c r="D287" s="5">
        <f t="shared" si="21"/>
        <v>30.81217091773625</v>
      </c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</row>
    <row r="288" spans="1:16">
      <c r="A288" s="5">
        <f t="shared" si="22"/>
        <v>19.200000000000003</v>
      </c>
      <c r="B288" s="5">
        <f t="shared" ref="B288:B296" si="23">F$63*EXP(-F$64*A288)</f>
        <v>42.822490212859535</v>
      </c>
      <c r="C288" s="5">
        <f>(0.951*(E$26+(E$27-E$26)*A288/C$58)^0.729)*(1.009^E25)*(1.044^0)</f>
        <v>3.89499144119684</v>
      </c>
      <c r="D288" s="5">
        <f t="shared" ref="D288:D296" si="24">$F$63*$F$66/($F$65/C288-$F$64)/C288*(EXP(-$F$64*A288)-EXP(-$F$65/C288*A288))</f>
        <v>30.375446665756858</v>
      </c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</row>
    <row r="289" spans="1:16">
      <c r="A289" s="5">
        <f t="shared" ref="A289:A296" si="25">A288+0.1</f>
        <v>19.300000000000004</v>
      </c>
      <c r="B289" s="5">
        <f t="shared" si="23"/>
        <v>42.129938828196494</v>
      </c>
      <c r="C289" s="5">
        <f>(0.951*(E$26+(E$27-E$26)*A289/C$58)^0.729)*(1.009^E25)*(1.044^0)</f>
        <v>3.8962235866882731</v>
      </c>
      <c r="D289" s="5">
        <f t="shared" si="24"/>
        <v>29.944405635586314</v>
      </c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</row>
    <row r="290" spans="1:16">
      <c r="A290" s="5">
        <f t="shared" si="25"/>
        <v>19.400000000000006</v>
      </c>
      <c r="B290" s="5">
        <f t="shared" si="23"/>
        <v>41.448587806193714</v>
      </c>
      <c r="C290" s="5">
        <f>(0.951*(E$26+(E$27-E$26)*A290/C$58)^0.729)*(1.009^E25)*(1.044^0)</f>
        <v>3.8974555873456014</v>
      </c>
      <c r="D290" s="5">
        <f t="shared" si="24"/>
        <v>29.518988796690486</v>
      </c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</row>
    <row r="291" spans="1:16">
      <c r="A291" s="5">
        <f t="shared" si="25"/>
        <v>19.500000000000007</v>
      </c>
      <c r="B291" s="5">
        <f t="shared" si="23"/>
        <v>40.77825600776675</v>
      </c>
      <c r="C291" s="5">
        <f>(0.951*(E$26+(E$27-E$26)*A291/C$58)^0.729)*(1.009^E25)*(1.044^0)</f>
        <v>3.8986874432486394</v>
      </c>
      <c r="D291" s="5">
        <f t="shared" si="24"/>
        <v>29.099137247818106</v>
      </c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</row>
    <row r="292" spans="1:16">
      <c r="A292" s="5">
        <f t="shared" si="25"/>
        <v>19.600000000000009</v>
      </c>
      <c r="B292" s="5">
        <f t="shared" si="23"/>
        <v>40.118765223322782</v>
      </c>
      <c r="C292" s="5">
        <f>(0.951*(E$26+(E$27-E$26)*A292/C$58)^0.729)*(1.009^E25)*(1.044^0)</f>
        <v>3.8999191544771188</v>
      </c>
      <c r="D292" s="5">
        <f t="shared" si="24"/>
        <v>28.684792236520785</v>
      </c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</row>
    <row r="293" spans="1:16">
      <c r="A293" s="5">
        <f t="shared" si="25"/>
        <v>19.70000000000001</v>
      </c>
      <c r="B293" s="5">
        <f t="shared" si="23"/>
        <v>39.469940125383026</v>
      </c>
      <c r="C293" s="5">
        <f>(0.951*(E$26+(E$27-E$26)*A293/C$58)^0.729)*(1.009^E25)*(1.044^0)</f>
        <v>3.9011507211106946</v>
      </c>
      <c r="D293" s="5">
        <f t="shared" si="24"/>
        <v>28.275895177771794</v>
      </c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</row>
    <row r="294" spans="1:16">
      <c r="A294" s="5">
        <f t="shared" si="25"/>
        <v>19.800000000000011</v>
      </c>
      <c r="B294" s="5">
        <f t="shared" si="23"/>
        <v>38.831608221971372</v>
      </c>
      <c r="C294" s="5">
        <f>(0.951*(E$26+(E$27-E$26)*A294/C$58)^0.729)*(1.009^E25)*(1.044^0)</f>
        <v>3.9023821432289445</v>
      </c>
      <c r="D294" s="5">
        <f t="shared" si="24"/>
        <v>27.872387671714502</v>
      </c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</row>
    <row r="295" spans="1:16">
      <c r="A295" s="5">
        <f t="shared" si="25"/>
        <v>19.900000000000013</v>
      </c>
      <c r="B295" s="5">
        <f t="shared" si="23"/>
        <v>38.203599810757048</v>
      </c>
      <c r="C295" s="5">
        <f>(0.951*(E$26+(E$27-E$26)*A295/C$58)^0.729)*(1.009^E25)*(1.044^0)</f>
        <v>3.9036134209113658</v>
      </c>
      <c r="D295" s="5">
        <f t="shared" si="24"/>
        <v>27.474211520570634</v>
      </c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</row>
    <row r="296" spans="1:16">
      <c r="A296" s="5">
        <f t="shared" si="25"/>
        <v>20.000000000000014</v>
      </c>
      <c r="B296" s="5">
        <f t="shared" si="23"/>
        <v>37.58574793393867</v>
      </c>
      <c r="C296" s="5">
        <f>(0.951*(E$26+(E$27-E$26)*A296/C$58)^0.729)*(1.009^E25)*(1.044^0)</f>
        <v>3.9048445542373784</v>
      </c>
      <c r="D296" s="5">
        <f t="shared" si="24"/>
        <v>27.081308744736972</v>
      </c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</row>
    <row r="297" spans="1:16">
      <c r="A297" s="7"/>
      <c r="B297" s="7"/>
      <c r="C297" s="7"/>
      <c r="D297" s="7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</row>
    <row r="298" spans="1:16">
      <c r="A298" s="7"/>
      <c r="B298" s="7"/>
      <c r="C298" s="7"/>
      <c r="D298" s="7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</row>
    <row r="299" spans="1:16">
      <c r="A299" s="7"/>
      <c r="B299" s="7"/>
      <c r="C299" s="7"/>
      <c r="D299" s="7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</row>
    <row r="300" spans="1:16">
      <c r="A300" s="7"/>
      <c r="B300" s="7"/>
      <c r="C300" s="7"/>
      <c r="D300" s="7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</row>
    <row r="301" spans="1:16">
      <c r="A301" s="7"/>
      <c r="B301" s="7"/>
      <c r="C301" s="7"/>
      <c r="D301" s="7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</row>
    <row r="302" spans="1:16">
      <c r="A302" s="7"/>
      <c r="B302" s="7"/>
      <c r="C302" s="7"/>
      <c r="D302" s="7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</row>
    <row r="303" spans="1:16">
      <c r="A303" s="7"/>
      <c r="B303" s="7"/>
      <c r="C303" s="7"/>
      <c r="D303" s="7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</row>
    <row r="304" spans="1:16">
      <c r="A304" s="7"/>
      <c r="B304" s="7"/>
      <c r="C304" s="7"/>
      <c r="D304" s="7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</row>
    <row r="305" spans="1:16">
      <c r="A305" s="7"/>
      <c r="B305" s="7"/>
      <c r="C305" s="7"/>
      <c r="D305" s="7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</row>
    <row r="306" spans="1:16">
      <c r="A306" s="7"/>
      <c r="B306" s="7"/>
      <c r="C306" s="7"/>
      <c r="D306" s="7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</row>
    <row r="307" spans="1:16">
      <c r="A307" s="7"/>
      <c r="B307" s="7"/>
      <c r="C307" s="7"/>
      <c r="D307" s="7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</row>
    <row r="308" spans="1:16" s="2" customFormat="1">
      <c r="A308" s="7"/>
      <c r="B308" s="7"/>
      <c r="C308" s="7"/>
      <c r="D308" s="7"/>
      <c r="E308" s="5"/>
      <c r="F308" s="5"/>
      <c r="G308" s="5"/>
      <c r="H308" s="5"/>
      <c r="I308" s="5"/>
      <c r="J308" s="7"/>
      <c r="K308" s="7"/>
      <c r="L308" s="7"/>
      <c r="M308" s="7"/>
      <c r="N308" s="7"/>
      <c r="O308" s="7"/>
      <c r="P308" s="7"/>
    </row>
    <row r="309" spans="1:16">
      <c r="A309" s="7"/>
      <c r="B309" s="7"/>
      <c r="C309" s="7"/>
      <c r="D309" s="7"/>
      <c r="E309" s="7"/>
      <c r="F309" s="7"/>
      <c r="G309" s="7"/>
      <c r="H309" s="7"/>
      <c r="I309" s="7"/>
      <c r="J309" s="5"/>
      <c r="K309" s="5"/>
      <c r="L309" s="5"/>
      <c r="M309" s="5"/>
      <c r="N309" s="5"/>
      <c r="O309" s="5"/>
      <c r="P309" s="5"/>
    </row>
    <row r="310" spans="1:16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</row>
    <row r="311" spans="1:16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</row>
    <row r="312" spans="1:16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</row>
    <row r="313" spans="1:16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</row>
    <row r="314" spans="1:16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</row>
    <row r="315" spans="1:16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</row>
    <row r="316" spans="1: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</row>
    <row r="317" spans="1:16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</row>
    <row r="318" spans="1:16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</row>
    <row r="319" spans="1:16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</row>
    <row r="320" spans="1:16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</row>
    <row r="321" spans="1:16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</row>
    <row r="322" spans="1:16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</row>
    <row r="323" spans="1:16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</row>
    <row r="324" spans="1:16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</row>
    <row r="325" spans="1:16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</row>
    <row r="326" spans="1:1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</row>
    <row r="327" spans="1:16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</row>
    <row r="328" spans="1:16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</row>
    <row r="329" spans="1:16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</row>
    <row r="330" spans="1:16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</row>
    <row r="331" spans="1:16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</row>
    <row r="332" spans="1:16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</row>
    <row r="333" spans="1:16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</row>
    <row r="334" spans="1:16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</row>
    <row r="335" spans="1:16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</row>
    <row r="336" spans="1:1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</row>
    <row r="337" spans="1:16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</row>
    <row r="338" spans="1:16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</row>
    <row r="339" spans="1:16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</row>
    <row r="340" spans="1:16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</row>
    <row r="341" spans="1:16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</row>
    <row r="342" spans="1:16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</row>
    <row r="343" spans="1:16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</row>
    <row r="344" spans="1:16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</row>
    <row r="345" spans="1:16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</row>
    <row r="346" spans="1:1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</row>
    <row r="347" spans="1:16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</row>
    <row r="348" spans="1:16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</row>
    <row r="349" spans="1:16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</row>
    <row r="350" spans="1:16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</row>
    <row r="351" spans="1:16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</row>
    <row r="352" spans="1:16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</row>
    <row r="353" spans="1:16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</row>
    <row r="354" spans="1:16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</row>
    <row r="355" spans="1:16">
      <c r="A355" s="5"/>
      <c r="B355" s="5"/>
      <c r="C355" s="5"/>
      <c r="D355" s="5"/>
      <c r="E355" s="5"/>
      <c r="F355" s="5"/>
      <c r="G355" s="5"/>
      <c r="H355" s="5"/>
      <c r="I355" s="5"/>
    </row>
  </sheetData>
  <mergeCells count="19">
    <mergeCell ref="D37:E37"/>
    <mergeCell ref="D49:E49"/>
    <mergeCell ref="A11:I11"/>
    <mergeCell ref="A12:I12"/>
    <mergeCell ref="A13:I13"/>
    <mergeCell ref="A14:I14"/>
    <mergeCell ref="A15:I15"/>
    <mergeCell ref="A16:I16"/>
    <mergeCell ref="A1:J1"/>
    <mergeCell ref="A2:J2"/>
    <mergeCell ref="A3:J3"/>
    <mergeCell ref="A17:I17"/>
    <mergeCell ref="A18:I18"/>
    <mergeCell ref="A10:I10"/>
    <mergeCell ref="A5:I5"/>
    <mergeCell ref="A6:I6"/>
    <mergeCell ref="A7:I7"/>
    <mergeCell ref="A8:I8"/>
    <mergeCell ref="A9:I9"/>
  </mergeCells>
  <pageMargins left="0.75" right="0.75" top="1" bottom="1" header="0.5" footer="0.5"/>
  <pageSetup paperSize="9" scale="80" orientation="landscape" horizontalDpi="4294967292" verticalDpi="4294967292" r:id="rId1"/>
  <headerFooter alignWithMargins="0">
    <oddHeader>&amp;F</oddHeader>
    <oddFooter>Page &amp;P</oddFooter>
  </headerFooter>
  <rowBreaks count="2" manualBreakCount="2">
    <brk id="45" max="16383" man="1"/>
    <brk id="7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Male</vt:lpstr>
      <vt:lpstr>Female</vt:lpstr>
      <vt:lpstr>Female!Print_Area</vt:lpstr>
      <vt:lpstr>Male!Print_Area</vt:lpstr>
    </vt:vector>
  </TitlesOfParts>
  <Company>MRC Human Nutrition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Human milk intake calculations</dc:title>
  <dc:creator>Andy Coward, revised by Christine Slater</dc:creator>
  <cp:lastModifiedBy>Mrs. HJ Jansen van Vuuren</cp:lastModifiedBy>
  <cp:lastPrinted>2007-08-22T07:29:46Z</cp:lastPrinted>
  <dcterms:created xsi:type="dcterms:W3CDTF">2001-11-26T16:52:10Z</dcterms:created>
  <dcterms:modified xsi:type="dcterms:W3CDTF">2025-09-11T11:07:42Z</dcterms:modified>
</cp:coreProperties>
</file>