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  <Override PartName="/xl/charts/colors5.xml" ContentType="application/vnd.ms-office.chartcolorstyle+xml"/>
  <Override PartName="/xl/charts/style5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200" windowHeight="8235" tabRatio="750"/>
  </bookViews>
  <sheets>
    <sheet name="12-1 and 12-2 on MA" sheetId="1" r:id="rId1"/>
    <sheet name="16-1 and 16-2 on MA" sheetId="5" r:id="rId2"/>
    <sheet name="18-1 and 18-2 on MA" sheetId="2" r:id="rId3"/>
    <sheet name="12-2 titrated" sheetId="7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4" i="7" l="1"/>
  <c r="D12" i="7"/>
  <c r="E12" i="7"/>
  <c r="F12" i="7"/>
  <c r="G12" i="7"/>
  <c r="H12" i="7"/>
  <c r="I12" i="7"/>
  <c r="J12" i="7"/>
  <c r="K12" i="7"/>
  <c r="L12" i="7"/>
  <c r="M12" i="7"/>
  <c r="C12" i="7"/>
  <c r="D11" i="7"/>
  <c r="E11" i="7"/>
  <c r="F11" i="7"/>
  <c r="G11" i="7"/>
  <c r="H11" i="7"/>
  <c r="I11" i="7"/>
  <c r="J11" i="7"/>
  <c r="K11" i="7"/>
  <c r="L11" i="7"/>
  <c r="M11" i="7"/>
  <c r="C11" i="7"/>
  <c r="M10" i="7"/>
  <c r="M9" i="7"/>
  <c r="M8" i="7"/>
  <c r="M7" i="7"/>
  <c r="L10" i="7"/>
  <c r="L9" i="7"/>
  <c r="L8" i="7"/>
  <c r="L7" i="7"/>
  <c r="K10" i="7"/>
  <c r="K9" i="7"/>
  <c r="K8" i="7"/>
  <c r="K7" i="7"/>
  <c r="J10" i="7"/>
  <c r="J9" i="7"/>
  <c r="J8" i="7"/>
  <c r="J7" i="7"/>
  <c r="I10" i="7"/>
  <c r="I9" i="7"/>
  <c r="I8" i="7"/>
  <c r="I7" i="7"/>
  <c r="H10" i="7"/>
  <c r="H9" i="7"/>
  <c r="H8" i="7"/>
  <c r="H7" i="7"/>
  <c r="G10" i="7"/>
  <c r="G9" i="7"/>
  <c r="G8" i="7"/>
  <c r="G7" i="7"/>
  <c r="F10" i="7"/>
  <c r="F9" i="7"/>
  <c r="F8" i="7"/>
  <c r="F7" i="7"/>
  <c r="E10" i="7"/>
  <c r="E9" i="7"/>
  <c r="E8" i="7"/>
  <c r="E7" i="7"/>
  <c r="D10" i="7"/>
  <c r="D9" i="7"/>
  <c r="D8" i="7"/>
  <c r="D7" i="7"/>
  <c r="C10" i="7"/>
  <c r="C9" i="7"/>
  <c r="C8" i="7"/>
  <c r="C7" i="7"/>
  <c r="B12" i="7"/>
  <c r="B11" i="7"/>
  <c r="D6" i="7"/>
  <c r="E6" i="7"/>
  <c r="F6" i="7"/>
  <c r="G6" i="7"/>
  <c r="H6" i="7"/>
  <c r="I6" i="7"/>
  <c r="J6" i="7"/>
  <c r="K6" i="7"/>
  <c r="L6" i="7"/>
  <c r="M6" i="7"/>
  <c r="C6" i="7"/>
  <c r="D5" i="7"/>
  <c r="E5" i="7"/>
  <c r="F5" i="7"/>
  <c r="G5" i="7"/>
  <c r="H5" i="7"/>
  <c r="I5" i="7"/>
  <c r="J5" i="7"/>
  <c r="K5" i="7"/>
  <c r="L5" i="7"/>
  <c r="M5" i="7"/>
  <c r="C5" i="7"/>
  <c r="M4" i="7"/>
  <c r="M3" i="7"/>
  <c r="M2" i="7"/>
  <c r="M1" i="7"/>
  <c r="L4" i="7"/>
  <c r="L3" i="7"/>
  <c r="L2" i="7"/>
  <c r="L1" i="7"/>
  <c r="K4" i="7"/>
  <c r="K3" i="7"/>
  <c r="K2" i="7"/>
  <c r="K1" i="7"/>
  <c r="J4" i="7"/>
  <c r="J3" i="7"/>
  <c r="J2" i="7"/>
  <c r="J1" i="7"/>
  <c r="I4" i="7"/>
  <c r="I3" i="7"/>
  <c r="I2" i="7"/>
  <c r="I1" i="7"/>
  <c r="H4" i="7"/>
  <c r="H3" i="7"/>
  <c r="H2" i="7"/>
  <c r="H1" i="7"/>
  <c r="G4" i="7"/>
  <c r="G3" i="7"/>
  <c r="G2" i="7"/>
  <c r="G1" i="7"/>
  <c r="F4" i="7"/>
  <c r="F3" i="7"/>
  <c r="F2" i="7"/>
  <c r="F1" i="7"/>
  <c r="E4" i="7"/>
  <c r="E3" i="7"/>
  <c r="E2" i="7"/>
  <c r="E1" i="7"/>
  <c r="D3" i="7"/>
  <c r="D2" i="7"/>
  <c r="D1" i="7"/>
  <c r="D4" i="7"/>
  <c r="C4" i="7"/>
  <c r="C3" i="7"/>
  <c r="C2" i="7"/>
  <c r="C1" i="7"/>
  <c r="B6" i="7"/>
  <c r="B5" i="7"/>
  <c r="L14" i="7"/>
  <c r="L33" i="2" l="1"/>
  <c r="C29" i="2"/>
  <c r="B29" i="2"/>
  <c r="C33" i="5"/>
  <c r="C29" i="5"/>
  <c r="B29" i="5"/>
  <c r="L34" i="2" l="1"/>
  <c r="K34" i="2"/>
  <c r="J34" i="2"/>
  <c r="I34" i="2"/>
  <c r="H34" i="2"/>
  <c r="G34" i="2"/>
  <c r="F34" i="2"/>
  <c r="E34" i="2"/>
  <c r="D34" i="2"/>
  <c r="C34" i="2"/>
  <c r="K33" i="2"/>
  <c r="J33" i="2"/>
  <c r="I33" i="2"/>
  <c r="H33" i="2"/>
  <c r="G33" i="2"/>
  <c r="F33" i="2"/>
  <c r="E33" i="2"/>
  <c r="D33" i="2"/>
  <c r="C33" i="2"/>
  <c r="L30" i="2"/>
  <c r="K30" i="2"/>
  <c r="J30" i="2"/>
  <c r="I30" i="2"/>
  <c r="H30" i="2"/>
  <c r="G30" i="2"/>
  <c r="F30" i="2"/>
  <c r="E30" i="2"/>
  <c r="D30" i="2"/>
  <c r="C30" i="2"/>
  <c r="L29" i="2"/>
  <c r="K29" i="2"/>
  <c r="J29" i="2"/>
  <c r="I29" i="2"/>
  <c r="H29" i="2"/>
  <c r="G29" i="2"/>
  <c r="F29" i="2"/>
  <c r="E29" i="2"/>
  <c r="D29" i="2"/>
  <c r="D28" i="2"/>
  <c r="E28" i="2" s="1"/>
  <c r="F28" i="2" s="1"/>
  <c r="G28" i="2" s="1"/>
  <c r="H28" i="2" s="1"/>
  <c r="I28" i="2" s="1"/>
  <c r="J28" i="2" s="1"/>
  <c r="K28" i="2" s="1"/>
  <c r="L28" i="2" s="1"/>
  <c r="L34" i="5"/>
  <c r="K34" i="5"/>
  <c r="J34" i="5"/>
  <c r="I34" i="5"/>
  <c r="H34" i="5"/>
  <c r="G34" i="5"/>
  <c r="F34" i="5"/>
  <c r="E34" i="5"/>
  <c r="D34" i="5"/>
  <c r="C34" i="5"/>
  <c r="L33" i="5"/>
  <c r="K33" i="5"/>
  <c r="J33" i="5"/>
  <c r="I33" i="5"/>
  <c r="H33" i="5"/>
  <c r="G33" i="5"/>
  <c r="F33" i="5"/>
  <c r="E33" i="5"/>
  <c r="D33" i="5"/>
  <c r="L30" i="5"/>
  <c r="K30" i="5"/>
  <c r="J30" i="5"/>
  <c r="I30" i="5"/>
  <c r="H30" i="5"/>
  <c r="G30" i="5"/>
  <c r="F30" i="5"/>
  <c r="E30" i="5"/>
  <c r="D30" i="5"/>
  <c r="C30" i="5"/>
  <c r="L29" i="5"/>
  <c r="K29" i="5"/>
  <c r="J29" i="5"/>
  <c r="I29" i="5"/>
  <c r="H29" i="5"/>
  <c r="G29" i="5"/>
  <c r="F29" i="5"/>
  <c r="E29" i="5"/>
  <c r="D29" i="5"/>
  <c r="D28" i="5"/>
  <c r="E28" i="5" s="1"/>
  <c r="F28" i="5" s="1"/>
  <c r="G28" i="5" s="1"/>
  <c r="H28" i="5" s="1"/>
  <c r="I28" i="5" s="1"/>
  <c r="J28" i="5" s="1"/>
  <c r="K28" i="5" s="1"/>
  <c r="L28" i="5" s="1"/>
  <c r="M34" i="1"/>
  <c r="L34" i="1"/>
  <c r="K34" i="1"/>
  <c r="J34" i="1"/>
  <c r="I34" i="1"/>
  <c r="H34" i="1"/>
  <c r="G34" i="1"/>
  <c r="F34" i="1"/>
  <c r="E34" i="1"/>
  <c r="D34" i="1"/>
  <c r="M33" i="1"/>
  <c r="L33" i="1"/>
  <c r="K33" i="1"/>
  <c r="J33" i="1"/>
  <c r="I33" i="1"/>
  <c r="H33" i="1"/>
  <c r="G33" i="1"/>
  <c r="F33" i="1"/>
  <c r="E33" i="1"/>
  <c r="D33" i="1"/>
  <c r="M30" i="1"/>
  <c r="L30" i="1"/>
  <c r="K30" i="1"/>
  <c r="J30" i="1"/>
  <c r="I30" i="1"/>
  <c r="H30" i="1"/>
  <c r="G30" i="1"/>
  <c r="F30" i="1"/>
  <c r="E30" i="1"/>
  <c r="D30" i="1"/>
  <c r="M29" i="1"/>
  <c r="L29" i="1"/>
  <c r="K29" i="1"/>
  <c r="J29" i="1"/>
  <c r="I29" i="1"/>
  <c r="H29" i="1"/>
  <c r="G29" i="1"/>
  <c r="F29" i="1"/>
  <c r="E29" i="1"/>
  <c r="D29" i="1"/>
  <c r="J28" i="1"/>
  <c r="K28" i="1" s="1"/>
  <c r="L28" i="1" s="1"/>
  <c r="M28" i="1" s="1"/>
  <c r="C29" i="1"/>
</calcChain>
</file>

<file path=xl/sharedStrings.xml><?xml version="1.0" encoding="utf-8"?>
<sst xmlns="http://schemas.openxmlformats.org/spreadsheetml/2006/main" count="65" uniqueCount="23">
  <si>
    <t>Cas</t>
  </si>
  <si>
    <t>avg</t>
  </si>
  <si>
    <t>std dev</t>
  </si>
  <si>
    <t>12+CH1-4</t>
  </si>
  <si>
    <t>12+CH2-4</t>
  </si>
  <si>
    <t>12+ch1-4</t>
  </si>
  <si>
    <t>12 + ch2-4</t>
  </si>
  <si>
    <t>16+ch1-4</t>
  </si>
  <si>
    <t xml:space="preserve">avg </t>
  </si>
  <si>
    <t>16+ch2-4</t>
  </si>
  <si>
    <t>18+ch1-4</t>
  </si>
  <si>
    <t>18 +ch2-4</t>
  </si>
  <si>
    <t>plot:</t>
  </si>
  <si>
    <t>MA</t>
  </si>
  <si>
    <r>
      <t>12</t>
    </r>
    <r>
      <rPr>
        <b/>
        <vertAlign val="subscript"/>
        <sz val="11"/>
        <color theme="1"/>
        <rFont val="Calibri"/>
        <family val="2"/>
        <scheme val="minor"/>
      </rPr>
      <t>CH1-4</t>
    </r>
  </si>
  <si>
    <r>
      <t>12</t>
    </r>
    <r>
      <rPr>
        <b/>
        <vertAlign val="subscript"/>
        <sz val="11"/>
        <color theme="1"/>
        <rFont val="Calibri"/>
        <family val="2"/>
        <scheme val="minor"/>
      </rPr>
      <t>CH2-4</t>
    </r>
  </si>
  <si>
    <r>
      <t>16</t>
    </r>
    <r>
      <rPr>
        <b/>
        <vertAlign val="subscript"/>
        <sz val="11"/>
        <color theme="1"/>
        <rFont val="Calibri"/>
        <family val="2"/>
        <scheme val="minor"/>
      </rPr>
      <t>CH1-4</t>
    </r>
  </si>
  <si>
    <r>
      <t>16</t>
    </r>
    <r>
      <rPr>
        <b/>
        <vertAlign val="subscript"/>
        <sz val="11"/>
        <color theme="1"/>
        <rFont val="Calibri"/>
        <family val="2"/>
        <scheme val="minor"/>
      </rPr>
      <t>CH2-4</t>
    </r>
  </si>
  <si>
    <r>
      <t>18</t>
    </r>
    <r>
      <rPr>
        <b/>
        <vertAlign val="subscript"/>
        <sz val="11"/>
        <color theme="1"/>
        <rFont val="Calibri"/>
        <family val="2"/>
        <scheme val="minor"/>
      </rPr>
      <t>CH1-4</t>
    </r>
  </si>
  <si>
    <r>
      <t>18</t>
    </r>
    <r>
      <rPr>
        <b/>
        <vertAlign val="subscript"/>
        <sz val="11"/>
        <color theme="1"/>
        <rFont val="Calibri"/>
        <family val="2"/>
        <scheme val="minor"/>
      </rPr>
      <t>CH2-4</t>
    </r>
  </si>
  <si>
    <t>12CH2-4</t>
  </si>
  <si>
    <t>Hex</t>
  </si>
  <si>
    <t>12+ch2-4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</si>
</sst>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0" xfId="0" applyFont="1" applyAlignment="1">
      <alignment vertical="center"/>
    </xf>
    <xf numFmtId="0" fontId="1" fillId="0" borderId="0" xfId="0" applyFont="1"/>
    <xf numFmtId="16" fontId="0" fillId="0" borderId="0" xfId="0" applyNumberFormat="1"/>
    <xf numFmtId="0" fontId="0" fillId="0" borderId="0" xfId="0" applyFont="1"/>
    <xf numFmtId="0" fontId="3" fillId="0" borderId="0" xfId="0" applyFont="1"/>
    <xf numFmtId="0" fontId="1" fillId="0" borderId="0" xfId="0" applyFont="1" applyAlignment="1"/>
    <xf numFmtId="2" fontId="1" fillId="0" borderId="0" xfId="0" applyNumberFormat="1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3" Type="http://schemas.microsoft.com/office/2011/relationships/chartStyle" Target="style2.xml"/><Relationship Id="rId2" Type="http://schemas.microsoft.com/office/2011/relationships/chartColorStyle" Target="colors2.xml"/><Relationship Id="rId1" Type="http://schemas.openxmlformats.org/officeDocument/2006/relationships/chartUserShapes" Target="../drawings/drawing3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'12-1 and 12-2 on MA'!$A$38</c:f>
              <c:strCache>
                <c:ptCount val="1"/>
                <c:pt idx="0">
                  <c:v>12CH1-4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6350"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'12-1 and 12-2 on MA'!$D$30:$M$30</c:f>
                <c:numCache>
                  <c:formatCode>General</c:formatCode>
                  <c:ptCount val="10"/>
                  <c:pt idx="0">
                    <c:v>0.16111287081688144</c:v>
                  </c:pt>
                  <c:pt idx="1">
                    <c:v>0.1522966442740708</c:v>
                  </c:pt>
                  <c:pt idx="2">
                    <c:v>0.12341675910738963</c:v>
                  </c:pt>
                  <c:pt idx="3">
                    <c:v>8.1402768468189779E-2</c:v>
                  </c:pt>
                  <c:pt idx="4">
                    <c:v>0.13685909072577429</c:v>
                  </c:pt>
                  <c:pt idx="5">
                    <c:v>0.18969957451567621</c:v>
                  </c:pt>
                  <c:pt idx="6">
                    <c:v>0.1132607610781422</c:v>
                  </c:pt>
                  <c:pt idx="7">
                    <c:v>9.8697137749784836E-2</c:v>
                  </c:pt>
                  <c:pt idx="8">
                    <c:v>0.15073385959555149</c:v>
                  </c:pt>
                  <c:pt idx="9">
                    <c:v>0.11800658274617079</c:v>
                  </c:pt>
                </c:numCache>
              </c:numRef>
            </c:plus>
            <c:minus>
              <c:numRef>
                <c:f>'12-1 and 12-2 on MA'!$D$30:$M$30</c:f>
                <c:numCache>
                  <c:formatCode>General</c:formatCode>
                  <c:ptCount val="10"/>
                  <c:pt idx="0">
                    <c:v>0.16111287081688144</c:v>
                  </c:pt>
                  <c:pt idx="1">
                    <c:v>0.1522966442740708</c:v>
                  </c:pt>
                  <c:pt idx="2">
                    <c:v>0.12341675910738963</c:v>
                  </c:pt>
                  <c:pt idx="3">
                    <c:v>8.1402768468189779E-2</c:v>
                  </c:pt>
                  <c:pt idx="4">
                    <c:v>0.13685909072577429</c:v>
                  </c:pt>
                  <c:pt idx="5">
                    <c:v>0.18969957451567621</c:v>
                  </c:pt>
                  <c:pt idx="6">
                    <c:v>0.1132607610781422</c:v>
                  </c:pt>
                  <c:pt idx="7">
                    <c:v>9.8697137749784836E-2</c:v>
                  </c:pt>
                  <c:pt idx="8">
                    <c:v>0.15073385959555149</c:v>
                  </c:pt>
                  <c:pt idx="9">
                    <c:v>0.11800658274617079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'12-1 and 12-2 on MA'!$D$28:$M$28</c:f>
              <c:numCache>
                <c:formatCode>0.00</c:formatCode>
                <c:ptCount val="10"/>
                <c:pt idx="0">
                  <c:v>1000</c:v>
                </c:pt>
                <c:pt idx="1">
                  <c:v>500</c:v>
                </c:pt>
                <c:pt idx="2">
                  <c:v>250</c:v>
                </c:pt>
                <c:pt idx="3">
                  <c:v>125</c:v>
                </c:pt>
                <c:pt idx="4">
                  <c:v>63</c:v>
                </c:pt>
                <c:pt idx="5">
                  <c:v>32</c:v>
                </c:pt>
                <c:pt idx="6">
                  <c:v>16</c:v>
                </c:pt>
                <c:pt idx="7">
                  <c:v>8</c:v>
                </c:pt>
                <c:pt idx="8">
                  <c:v>4</c:v>
                </c:pt>
                <c:pt idx="9">
                  <c:v>2</c:v>
                </c:pt>
              </c:numCache>
            </c:numRef>
          </c:cat>
          <c:val>
            <c:numRef>
              <c:f>'12-1 and 12-2 on MA'!$C$38:$L$38</c:f>
              <c:numCache>
                <c:formatCode>General</c:formatCode>
                <c:ptCount val="10"/>
                <c:pt idx="0">
                  <c:v>3.02725</c:v>
                </c:pt>
                <c:pt idx="1">
                  <c:v>3.0816249999999994</c:v>
                </c:pt>
                <c:pt idx="2">
                  <c:v>3.0476249999999996</c:v>
                </c:pt>
                <c:pt idx="3">
                  <c:v>3.0501249999999995</c:v>
                </c:pt>
                <c:pt idx="4">
                  <c:v>3.0801249999999998</c:v>
                </c:pt>
                <c:pt idx="5">
                  <c:v>3.06575</c:v>
                </c:pt>
                <c:pt idx="6">
                  <c:v>2.9654999999999996</c:v>
                </c:pt>
                <c:pt idx="7">
                  <c:v>2.4856249999999998</c:v>
                </c:pt>
                <c:pt idx="8">
                  <c:v>1.6941250000000001</c:v>
                </c:pt>
                <c:pt idx="9">
                  <c:v>1.0711249999999999</c:v>
                </c:pt>
              </c:numCache>
            </c:numRef>
          </c:val>
        </c:ser>
        <c:ser>
          <c:idx val="2"/>
          <c:order val="1"/>
          <c:tx>
            <c:strRef>
              <c:f>'12-1 and 12-2 on MA'!$A$40</c:f>
              <c:strCache>
                <c:ptCount val="1"/>
                <c:pt idx="0">
                  <c:v>12CH2-4</c:v>
                </c:pt>
              </c:strCache>
            </c:strRef>
          </c:tx>
          <c:spPr>
            <a:solidFill>
              <a:schemeClr val="bg2"/>
            </a:solidFill>
            <a:ln w="6350"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'12-1 and 12-2 on MA'!$D$34:$M$34</c:f>
                <c:numCache>
                  <c:formatCode>General</c:formatCode>
                  <c:ptCount val="10"/>
                  <c:pt idx="0">
                    <c:v>0.3242640017904283</c:v>
                  </c:pt>
                  <c:pt idx="1">
                    <c:v>0.31945016937589149</c:v>
                  </c:pt>
                  <c:pt idx="2">
                    <c:v>0.37275154498099156</c:v>
                  </c:pt>
                  <c:pt idx="3">
                    <c:v>0.24489090136513569</c:v>
                  </c:pt>
                  <c:pt idx="4">
                    <c:v>0.24632092887125931</c:v>
                  </c:pt>
                  <c:pt idx="5">
                    <c:v>0.25564987217453705</c:v>
                  </c:pt>
                  <c:pt idx="6">
                    <c:v>0.27162076372345745</c:v>
                  </c:pt>
                  <c:pt idx="7">
                    <c:v>3.9177252875324746E-2</c:v>
                  </c:pt>
                  <c:pt idx="8">
                    <c:v>0.14160205809642337</c:v>
                  </c:pt>
                  <c:pt idx="9">
                    <c:v>0.1134131984004885</c:v>
                  </c:pt>
                </c:numCache>
              </c:numRef>
            </c:plus>
            <c:minus>
              <c:numRef>
                <c:f>'12-1 and 12-2 on MA'!$D$34:$M$34</c:f>
                <c:numCache>
                  <c:formatCode>General</c:formatCode>
                  <c:ptCount val="10"/>
                  <c:pt idx="0">
                    <c:v>0.3242640017904283</c:v>
                  </c:pt>
                  <c:pt idx="1">
                    <c:v>0.31945016937589149</c:v>
                  </c:pt>
                  <c:pt idx="2">
                    <c:v>0.37275154498099156</c:v>
                  </c:pt>
                  <c:pt idx="3">
                    <c:v>0.24489090136513569</c:v>
                  </c:pt>
                  <c:pt idx="4">
                    <c:v>0.24632092887125931</c:v>
                  </c:pt>
                  <c:pt idx="5">
                    <c:v>0.25564987217453705</c:v>
                  </c:pt>
                  <c:pt idx="6">
                    <c:v>0.27162076372345745</c:v>
                  </c:pt>
                  <c:pt idx="7">
                    <c:v>3.9177252875324746E-2</c:v>
                  </c:pt>
                  <c:pt idx="8">
                    <c:v>0.14160205809642337</c:v>
                  </c:pt>
                  <c:pt idx="9">
                    <c:v>0.1134131984004885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'12-1 and 12-2 on MA'!$D$28:$M$28</c:f>
              <c:numCache>
                <c:formatCode>0.00</c:formatCode>
                <c:ptCount val="10"/>
                <c:pt idx="0">
                  <c:v>1000</c:v>
                </c:pt>
                <c:pt idx="1">
                  <c:v>500</c:v>
                </c:pt>
                <c:pt idx="2">
                  <c:v>250</c:v>
                </c:pt>
                <c:pt idx="3">
                  <c:v>125</c:v>
                </c:pt>
                <c:pt idx="4">
                  <c:v>63</c:v>
                </c:pt>
                <c:pt idx="5">
                  <c:v>32</c:v>
                </c:pt>
                <c:pt idx="6">
                  <c:v>16</c:v>
                </c:pt>
                <c:pt idx="7">
                  <c:v>8</c:v>
                </c:pt>
                <c:pt idx="8">
                  <c:v>4</c:v>
                </c:pt>
                <c:pt idx="9">
                  <c:v>2</c:v>
                </c:pt>
              </c:numCache>
            </c:numRef>
          </c:cat>
          <c:val>
            <c:numRef>
              <c:f>'12-1 and 12-2 on MA'!$C$40:$L$40</c:f>
              <c:numCache>
                <c:formatCode>General</c:formatCode>
                <c:ptCount val="10"/>
                <c:pt idx="0">
                  <c:v>3.1510000000000002</c:v>
                </c:pt>
                <c:pt idx="1">
                  <c:v>3.1948749999999997</c:v>
                </c:pt>
                <c:pt idx="2">
                  <c:v>3.1715</c:v>
                </c:pt>
                <c:pt idx="3">
                  <c:v>3.1088749999999994</c:v>
                </c:pt>
                <c:pt idx="4">
                  <c:v>3.1399999999999992</c:v>
                </c:pt>
                <c:pt idx="5">
                  <c:v>3.1909999999999998</c:v>
                </c:pt>
                <c:pt idx="6">
                  <c:v>3.1988750000000001</c:v>
                </c:pt>
                <c:pt idx="7">
                  <c:v>3.105</c:v>
                </c:pt>
                <c:pt idx="8">
                  <c:v>3.0914999999999995</c:v>
                </c:pt>
                <c:pt idx="9">
                  <c:v>2.8786249999999995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1429632"/>
        <c:axId val="81431552"/>
      </c:barChart>
      <c:catAx>
        <c:axId val="814296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ZA" sz="110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Concentration (µg/ml)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1431552"/>
        <c:crosses val="autoZero"/>
        <c:auto val="1"/>
        <c:lblAlgn val="ctr"/>
        <c:lblOffset val="100"/>
        <c:noMultiLvlLbl val="0"/>
      </c:catAx>
      <c:valAx>
        <c:axId val="8143155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ZA" sz="110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Absorbance (450 nm)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1429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3328724631712447"/>
          <c:y val="0.29603280904130869"/>
          <c:w val="0.16401453865589341"/>
          <c:h val="0.223912053218640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'16-1 and 16-2 on MA'!$A$39:$B$39</c:f>
              <c:strCache>
                <c:ptCount val="1"/>
                <c:pt idx="0">
                  <c:v>16CH1-4 MA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6350">
              <a:solidFill>
                <a:schemeClr val="tx1"/>
              </a:solidFill>
            </a:ln>
          </c:spPr>
          <c:invertIfNegative val="0"/>
          <c:errBars>
            <c:errBarType val="both"/>
            <c:errValType val="cust"/>
            <c:noEndCap val="0"/>
            <c:plus>
              <c:numRef>
                <c:f>'16-1 and 16-2 on MA'!$C$30:$L$30</c:f>
                <c:numCache>
                  <c:formatCode>General</c:formatCode>
                  <c:ptCount val="10"/>
                  <c:pt idx="0">
                    <c:v>0.15381981573999415</c:v>
                  </c:pt>
                  <c:pt idx="1">
                    <c:v>0.15043205632918988</c:v>
                  </c:pt>
                  <c:pt idx="2">
                    <c:v>8.5912122876476843E-2</c:v>
                  </c:pt>
                  <c:pt idx="3">
                    <c:v>0.14164221777825584</c:v>
                  </c:pt>
                  <c:pt idx="4">
                    <c:v>0.18381323013164358</c:v>
                  </c:pt>
                  <c:pt idx="5">
                    <c:v>0.36960415601404767</c:v>
                  </c:pt>
                  <c:pt idx="6">
                    <c:v>0.26358754306139504</c:v>
                  </c:pt>
                  <c:pt idx="7">
                    <c:v>0.15990968433105326</c:v>
                  </c:pt>
                  <c:pt idx="8">
                    <c:v>0.12122890096248276</c:v>
                  </c:pt>
                  <c:pt idx="9">
                    <c:v>6.4529893404972671E-2</c:v>
                  </c:pt>
                </c:numCache>
              </c:numRef>
            </c:plus>
            <c:minus>
              <c:numRef>
                <c:f>'16-1 and 16-2 on MA'!$C$30:$L$30</c:f>
                <c:numCache>
                  <c:formatCode>General</c:formatCode>
                  <c:ptCount val="10"/>
                  <c:pt idx="0">
                    <c:v>0.15381981573999415</c:v>
                  </c:pt>
                  <c:pt idx="1">
                    <c:v>0.15043205632918988</c:v>
                  </c:pt>
                  <c:pt idx="2">
                    <c:v>8.5912122876476843E-2</c:v>
                  </c:pt>
                  <c:pt idx="3">
                    <c:v>0.14164221777825584</c:v>
                  </c:pt>
                  <c:pt idx="4">
                    <c:v>0.18381323013164358</c:v>
                  </c:pt>
                  <c:pt idx="5">
                    <c:v>0.36960415601404767</c:v>
                  </c:pt>
                  <c:pt idx="6">
                    <c:v>0.26358754306139504</c:v>
                  </c:pt>
                  <c:pt idx="7">
                    <c:v>0.15990968433105326</c:v>
                  </c:pt>
                  <c:pt idx="8">
                    <c:v>0.12122890096248276</c:v>
                  </c:pt>
                  <c:pt idx="9">
                    <c:v>6.4529893404972671E-2</c:v>
                  </c:pt>
                </c:numCache>
              </c:numRef>
            </c:minus>
          </c:errBars>
          <c:cat>
            <c:numRef>
              <c:f>'16-1 and 16-2 on MA'!$C$28:$L$28</c:f>
              <c:numCache>
                <c:formatCode>General</c:formatCode>
                <c:ptCount val="10"/>
                <c:pt idx="0">
                  <c:v>1000</c:v>
                </c:pt>
                <c:pt idx="1">
                  <c:v>500</c:v>
                </c:pt>
                <c:pt idx="2">
                  <c:v>250</c:v>
                </c:pt>
                <c:pt idx="3">
                  <c:v>125</c:v>
                </c:pt>
                <c:pt idx="4">
                  <c:v>62.5</c:v>
                </c:pt>
                <c:pt idx="5">
                  <c:v>31.25</c:v>
                </c:pt>
                <c:pt idx="6">
                  <c:v>15.625</c:v>
                </c:pt>
                <c:pt idx="7">
                  <c:v>7.8125</c:v>
                </c:pt>
                <c:pt idx="8">
                  <c:v>3.90625</c:v>
                </c:pt>
                <c:pt idx="9">
                  <c:v>1.953125</c:v>
                </c:pt>
              </c:numCache>
            </c:numRef>
          </c:cat>
          <c:val>
            <c:numRef>
              <c:f>'16-1 and 16-2 on MA'!$C$39:$L$39</c:f>
              <c:numCache>
                <c:formatCode>General</c:formatCode>
                <c:ptCount val="10"/>
                <c:pt idx="0">
                  <c:v>3.0066250000000001</c:v>
                </c:pt>
                <c:pt idx="1">
                  <c:v>2.9955000000000003</c:v>
                </c:pt>
                <c:pt idx="2">
                  <c:v>2.9196249999999999</c:v>
                </c:pt>
                <c:pt idx="3">
                  <c:v>2.9402499999999998</c:v>
                </c:pt>
                <c:pt idx="4">
                  <c:v>2.6392500000000001</c:v>
                </c:pt>
                <c:pt idx="5">
                  <c:v>2.0702500000000001</c:v>
                </c:pt>
                <c:pt idx="6">
                  <c:v>1.259625</c:v>
                </c:pt>
                <c:pt idx="7">
                  <c:v>0.74562499999999998</c:v>
                </c:pt>
                <c:pt idx="8">
                  <c:v>0.42300000000000004</c:v>
                </c:pt>
                <c:pt idx="9">
                  <c:v>0.25187500000000002</c:v>
                </c:pt>
              </c:numCache>
            </c:numRef>
          </c:val>
        </c:ser>
        <c:ser>
          <c:idx val="1"/>
          <c:order val="1"/>
          <c:tx>
            <c:strRef>
              <c:f>'16-1 and 16-2 on MA'!$A$40:$B$40</c:f>
              <c:strCache>
                <c:ptCount val="1"/>
                <c:pt idx="0">
                  <c:v>16CH1-4 MA</c:v>
                </c:pt>
              </c:strCache>
            </c:strRef>
          </c:tx>
          <c:spPr>
            <a:solidFill>
              <a:schemeClr val="tx1"/>
            </a:solidFill>
          </c:spPr>
          <c:invertIfNegative val="0"/>
          <c:errBars>
            <c:errBarType val="both"/>
            <c:errValType val="cust"/>
            <c:noEndCap val="0"/>
            <c:plus>
              <c:numRef>
                <c:f>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plus>
            <c:minus>
              <c:numRef>
                <c:f>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minus>
          </c:errBars>
          <c:cat>
            <c:numRef>
              <c:f>'16-1 and 16-2 on MA'!$C$28:$L$28</c:f>
              <c:numCache>
                <c:formatCode>General</c:formatCode>
                <c:ptCount val="10"/>
                <c:pt idx="0">
                  <c:v>1000</c:v>
                </c:pt>
                <c:pt idx="1">
                  <c:v>500</c:v>
                </c:pt>
                <c:pt idx="2">
                  <c:v>250</c:v>
                </c:pt>
                <c:pt idx="3">
                  <c:v>125</c:v>
                </c:pt>
                <c:pt idx="4">
                  <c:v>62.5</c:v>
                </c:pt>
                <c:pt idx="5">
                  <c:v>31.25</c:v>
                </c:pt>
                <c:pt idx="6">
                  <c:v>15.625</c:v>
                </c:pt>
                <c:pt idx="7">
                  <c:v>7.8125</c:v>
                </c:pt>
                <c:pt idx="8">
                  <c:v>3.90625</c:v>
                </c:pt>
                <c:pt idx="9">
                  <c:v>1.953125</c:v>
                </c:pt>
              </c:numCache>
            </c:numRef>
          </c:cat>
          <c:val>
            <c:numRef>
              <c:f>'16-1 and 16-2 on MA'!$C$40:$L$40</c:f>
              <c:numCache>
                <c:formatCode>General</c:formatCode>
                <c:ptCount val="10"/>
              </c:numCache>
            </c:numRef>
          </c:val>
        </c:ser>
        <c:ser>
          <c:idx val="2"/>
          <c:order val="2"/>
          <c:tx>
            <c:strRef>
              <c:f>'16-1 and 16-2 on MA'!$A$41:$B$41</c:f>
              <c:strCache>
                <c:ptCount val="1"/>
                <c:pt idx="0">
                  <c:v>16CH2-4 MA</c:v>
                </c:pt>
              </c:strCache>
            </c:strRef>
          </c:tx>
          <c:spPr>
            <a:pattFill prst="pct20">
              <a:fgClr>
                <a:schemeClr val="tx1"/>
              </a:fgClr>
              <a:bgClr>
                <a:schemeClr val="bg1"/>
              </a:bgClr>
            </a:pattFill>
            <a:ln w="6350">
              <a:solidFill>
                <a:schemeClr val="tx1"/>
              </a:solidFill>
            </a:ln>
          </c:spPr>
          <c:invertIfNegative val="0"/>
          <c:errBars>
            <c:errBarType val="both"/>
            <c:errValType val="cust"/>
            <c:noEndCap val="0"/>
            <c:plus>
              <c:numRef>
                <c:f>'16-1 and 16-2 on MA'!$C$34:$L$34</c:f>
                <c:numCache>
                  <c:formatCode>General</c:formatCode>
                  <c:ptCount val="10"/>
                  <c:pt idx="0">
                    <c:v>0.14421022600951114</c:v>
                  </c:pt>
                  <c:pt idx="1">
                    <c:v>0.15225131948759688</c:v>
                  </c:pt>
                  <c:pt idx="2">
                    <c:v>0.2095383105101036</c:v>
                  </c:pt>
                  <c:pt idx="3">
                    <c:v>0.12461232741128435</c:v>
                  </c:pt>
                  <c:pt idx="4">
                    <c:v>0.22905699540257909</c:v>
                  </c:pt>
                  <c:pt idx="5">
                    <c:v>0.1523492814929843</c:v>
                  </c:pt>
                  <c:pt idx="6">
                    <c:v>0.37043114359197488</c:v>
                  </c:pt>
                  <c:pt idx="7">
                    <c:v>0.41808034942033412</c:v>
                  </c:pt>
                  <c:pt idx="8">
                    <c:v>0.32912334856620018</c:v>
                  </c:pt>
                  <c:pt idx="9">
                    <c:v>0.19273153978674964</c:v>
                  </c:pt>
                </c:numCache>
              </c:numRef>
            </c:plus>
            <c:minus>
              <c:numRef>
                <c:f>'16-1 and 16-2 on MA'!$C$34:$L$34</c:f>
                <c:numCache>
                  <c:formatCode>General</c:formatCode>
                  <c:ptCount val="10"/>
                  <c:pt idx="0">
                    <c:v>0.14421022600951114</c:v>
                  </c:pt>
                  <c:pt idx="1">
                    <c:v>0.15225131948759688</c:v>
                  </c:pt>
                  <c:pt idx="2">
                    <c:v>0.2095383105101036</c:v>
                  </c:pt>
                  <c:pt idx="3">
                    <c:v>0.12461232741128435</c:v>
                  </c:pt>
                  <c:pt idx="4">
                    <c:v>0.22905699540257909</c:v>
                  </c:pt>
                  <c:pt idx="5">
                    <c:v>0.1523492814929843</c:v>
                  </c:pt>
                  <c:pt idx="6">
                    <c:v>0.37043114359197488</c:v>
                  </c:pt>
                  <c:pt idx="7">
                    <c:v>0.41808034942033412</c:v>
                  </c:pt>
                  <c:pt idx="8">
                    <c:v>0.32912334856620018</c:v>
                  </c:pt>
                  <c:pt idx="9">
                    <c:v>0.19273153978674964</c:v>
                  </c:pt>
                </c:numCache>
              </c:numRef>
            </c:minus>
          </c:errBars>
          <c:cat>
            <c:numRef>
              <c:f>'16-1 and 16-2 on MA'!$C$28:$L$28</c:f>
              <c:numCache>
                <c:formatCode>General</c:formatCode>
                <c:ptCount val="10"/>
                <c:pt idx="0">
                  <c:v>1000</c:v>
                </c:pt>
                <c:pt idx="1">
                  <c:v>500</c:v>
                </c:pt>
                <c:pt idx="2">
                  <c:v>250</c:v>
                </c:pt>
                <c:pt idx="3">
                  <c:v>125</c:v>
                </c:pt>
                <c:pt idx="4">
                  <c:v>62.5</c:v>
                </c:pt>
                <c:pt idx="5">
                  <c:v>31.25</c:v>
                </c:pt>
                <c:pt idx="6">
                  <c:v>15.625</c:v>
                </c:pt>
                <c:pt idx="7">
                  <c:v>7.8125</c:v>
                </c:pt>
                <c:pt idx="8">
                  <c:v>3.90625</c:v>
                </c:pt>
                <c:pt idx="9">
                  <c:v>1.953125</c:v>
                </c:pt>
              </c:numCache>
            </c:numRef>
          </c:cat>
          <c:val>
            <c:numRef>
              <c:f>'16-1 and 16-2 on MA'!$C$41:$L$41</c:f>
              <c:numCache>
                <c:formatCode>General</c:formatCode>
                <c:ptCount val="10"/>
                <c:pt idx="0">
                  <c:v>3.1194999999999999</c:v>
                </c:pt>
                <c:pt idx="1">
                  <c:v>3.0263749999999998</c:v>
                </c:pt>
                <c:pt idx="2">
                  <c:v>3.1582500000000002</c:v>
                </c:pt>
                <c:pt idx="3">
                  <c:v>3.0962499999999999</c:v>
                </c:pt>
                <c:pt idx="4">
                  <c:v>3.0203749999999996</c:v>
                </c:pt>
                <c:pt idx="5">
                  <c:v>2.92475</c:v>
                </c:pt>
                <c:pt idx="6">
                  <c:v>2.4669999999999996</c:v>
                </c:pt>
                <c:pt idx="7">
                  <c:v>1.6523750000000001</c:v>
                </c:pt>
                <c:pt idx="8">
                  <c:v>1.0233749999999999</c:v>
                </c:pt>
                <c:pt idx="9">
                  <c:v>0.61450000000000005</c:v>
                </c:pt>
              </c:numCache>
            </c:numRef>
          </c:val>
        </c:ser>
        <c:ser>
          <c:idx val="3"/>
          <c:order val="3"/>
          <c:tx>
            <c:strRef>
              <c:f>'16-1 and 16-2 on MA'!$A$42:$B$42</c:f>
              <c:strCache>
                <c:ptCount val="1"/>
                <c:pt idx="0">
                  <c:v>16CH2-4 MA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 w="6350">
              <a:solidFill>
                <a:schemeClr val="tx1"/>
              </a:solidFill>
            </a:ln>
          </c:spPr>
          <c:invertIfNegative val="0"/>
          <c:errBars>
            <c:errBarType val="both"/>
            <c:errValType val="cust"/>
            <c:noEndCap val="0"/>
            <c:plus>
              <c:numRef>
                <c:f>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plus>
            <c:minus>
              <c:numRef>
                <c:f>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minus>
          </c:errBars>
          <c:cat>
            <c:numRef>
              <c:f>'16-1 and 16-2 on MA'!$C$28:$L$28</c:f>
              <c:numCache>
                <c:formatCode>General</c:formatCode>
                <c:ptCount val="10"/>
                <c:pt idx="0">
                  <c:v>1000</c:v>
                </c:pt>
                <c:pt idx="1">
                  <c:v>500</c:v>
                </c:pt>
                <c:pt idx="2">
                  <c:v>250</c:v>
                </c:pt>
                <c:pt idx="3">
                  <c:v>125</c:v>
                </c:pt>
                <c:pt idx="4">
                  <c:v>62.5</c:v>
                </c:pt>
                <c:pt idx="5">
                  <c:v>31.25</c:v>
                </c:pt>
                <c:pt idx="6">
                  <c:v>15.625</c:v>
                </c:pt>
                <c:pt idx="7">
                  <c:v>7.8125</c:v>
                </c:pt>
                <c:pt idx="8">
                  <c:v>3.90625</c:v>
                </c:pt>
                <c:pt idx="9">
                  <c:v>1.953125</c:v>
                </c:pt>
              </c:numCache>
            </c:numRef>
          </c:cat>
          <c:val>
            <c:numRef>
              <c:f>'16-1 and 16-2 on MA'!$C$42:$L$42</c:f>
              <c:numCache>
                <c:formatCode>General</c:formatCode>
                <c:ptCount val="10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42902784"/>
        <c:axId val="751633536"/>
      </c:barChart>
      <c:catAx>
        <c:axId val="7429027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ZA" sz="12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Concentration (µg/ml)</a:t>
                </a:r>
              </a:p>
            </c:rich>
          </c:tx>
          <c:overlay val="0"/>
        </c:title>
        <c:numFmt formatCode="#,##0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 sz="9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751633536"/>
        <c:crosses val="autoZero"/>
        <c:auto val="1"/>
        <c:lblAlgn val="ctr"/>
        <c:lblOffset val="100"/>
        <c:noMultiLvlLbl val="0"/>
      </c:catAx>
      <c:valAx>
        <c:axId val="7516335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2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ZA" sz="12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Absorbance (450 nm)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7429027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'16-1 and 16-2 on MA'!$A$39:$B$39</c:f>
              <c:strCache>
                <c:ptCount val="1"/>
                <c:pt idx="0">
                  <c:v>16CH1-4 MA</c:v>
                </c:pt>
              </c:strCache>
            </c:strRef>
          </c:tx>
          <c:invertIfNegative val="0"/>
          <c:cat>
            <c:numRef>
              <c:f>'16-1 and 16-2 on MA'!$C$28:$L$28</c:f>
              <c:numCache>
                <c:formatCode>General</c:formatCode>
                <c:ptCount val="10"/>
                <c:pt idx="0">
                  <c:v>1000</c:v>
                </c:pt>
                <c:pt idx="1">
                  <c:v>500</c:v>
                </c:pt>
                <c:pt idx="2">
                  <c:v>250</c:v>
                </c:pt>
                <c:pt idx="3">
                  <c:v>125</c:v>
                </c:pt>
                <c:pt idx="4">
                  <c:v>62.5</c:v>
                </c:pt>
                <c:pt idx="5">
                  <c:v>31.25</c:v>
                </c:pt>
                <c:pt idx="6">
                  <c:v>15.625</c:v>
                </c:pt>
                <c:pt idx="7">
                  <c:v>7.8125</c:v>
                </c:pt>
                <c:pt idx="8">
                  <c:v>3.90625</c:v>
                </c:pt>
                <c:pt idx="9">
                  <c:v>1.953125</c:v>
                </c:pt>
              </c:numCache>
            </c:numRef>
          </c:cat>
          <c:val>
            <c:numRef>
              <c:f>'16-1 and 16-2 on MA'!$C$39:$L$39</c:f>
              <c:numCache>
                <c:formatCode>General</c:formatCode>
                <c:ptCount val="10"/>
                <c:pt idx="0">
                  <c:v>3.0066250000000001</c:v>
                </c:pt>
                <c:pt idx="1">
                  <c:v>2.9955000000000003</c:v>
                </c:pt>
                <c:pt idx="2">
                  <c:v>2.9196249999999999</c:v>
                </c:pt>
                <c:pt idx="3">
                  <c:v>2.9402499999999998</c:v>
                </c:pt>
                <c:pt idx="4">
                  <c:v>2.6392500000000001</c:v>
                </c:pt>
                <c:pt idx="5">
                  <c:v>2.0702500000000001</c:v>
                </c:pt>
                <c:pt idx="6">
                  <c:v>1.259625</c:v>
                </c:pt>
                <c:pt idx="7">
                  <c:v>0.74562499999999998</c:v>
                </c:pt>
                <c:pt idx="8">
                  <c:v>0.42300000000000004</c:v>
                </c:pt>
                <c:pt idx="9">
                  <c:v>0.25187500000000002</c:v>
                </c:pt>
              </c:numCache>
            </c:numRef>
          </c:val>
        </c:ser>
        <c:ser>
          <c:idx val="1"/>
          <c:order val="1"/>
          <c:tx>
            <c:strRef>
              <c:f>'16-1 and 16-2 on MA'!$A$40:$B$40</c:f>
              <c:strCache>
                <c:ptCount val="1"/>
                <c:pt idx="0">
                  <c:v>16CH1-4 MA</c:v>
                </c:pt>
              </c:strCache>
            </c:strRef>
          </c:tx>
          <c:invertIfNegative val="0"/>
          <c:cat>
            <c:numRef>
              <c:f>'16-1 and 16-2 on MA'!$C$28:$L$28</c:f>
              <c:numCache>
                <c:formatCode>General</c:formatCode>
                <c:ptCount val="10"/>
                <c:pt idx="0">
                  <c:v>1000</c:v>
                </c:pt>
                <c:pt idx="1">
                  <c:v>500</c:v>
                </c:pt>
                <c:pt idx="2">
                  <c:v>250</c:v>
                </c:pt>
                <c:pt idx="3">
                  <c:v>125</c:v>
                </c:pt>
                <c:pt idx="4">
                  <c:v>62.5</c:v>
                </c:pt>
                <c:pt idx="5">
                  <c:v>31.25</c:v>
                </c:pt>
                <c:pt idx="6">
                  <c:v>15.625</c:v>
                </c:pt>
                <c:pt idx="7">
                  <c:v>7.8125</c:v>
                </c:pt>
                <c:pt idx="8">
                  <c:v>3.90625</c:v>
                </c:pt>
                <c:pt idx="9">
                  <c:v>1.953125</c:v>
                </c:pt>
              </c:numCache>
            </c:numRef>
          </c:cat>
          <c:val>
            <c:numRef>
              <c:f>'16-1 and 16-2 on MA'!$C$40:$L$40</c:f>
              <c:numCache>
                <c:formatCode>General</c:formatCode>
                <c:ptCount val="10"/>
              </c:numCache>
            </c:numRef>
          </c:val>
        </c:ser>
        <c:ser>
          <c:idx val="2"/>
          <c:order val="2"/>
          <c:tx>
            <c:strRef>
              <c:f>'16-1 and 16-2 on MA'!$A$41:$B$41</c:f>
              <c:strCache>
                <c:ptCount val="1"/>
                <c:pt idx="0">
                  <c:v>16CH2-4 MA</c:v>
                </c:pt>
              </c:strCache>
            </c:strRef>
          </c:tx>
          <c:invertIfNegative val="0"/>
          <c:cat>
            <c:numRef>
              <c:f>'16-1 and 16-2 on MA'!$C$28:$L$28</c:f>
              <c:numCache>
                <c:formatCode>General</c:formatCode>
                <c:ptCount val="10"/>
                <c:pt idx="0">
                  <c:v>1000</c:v>
                </c:pt>
                <c:pt idx="1">
                  <c:v>500</c:v>
                </c:pt>
                <c:pt idx="2">
                  <c:v>250</c:v>
                </c:pt>
                <c:pt idx="3">
                  <c:v>125</c:v>
                </c:pt>
                <c:pt idx="4">
                  <c:v>62.5</c:v>
                </c:pt>
                <c:pt idx="5">
                  <c:v>31.25</c:v>
                </c:pt>
                <c:pt idx="6">
                  <c:v>15.625</c:v>
                </c:pt>
                <c:pt idx="7">
                  <c:v>7.8125</c:v>
                </c:pt>
                <c:pt idx="8">
                  <c:v>3.90625</c:v>
                </c:pt>
                <c:pt idx="9">
                  <c:v>1.953125</c:v>
                </c:pt>
              </c:numCache>
            </c:numRef>
          </c:cat>
          <c:val>
            <c:numRef>
              <c:f>'16-1 and 16-2 on MA'!$C$41:$L$41</c:f>
              <c:numCache>
                <c:formatCode>General</c:formatCode>
                <c:ptCount val="10"/>
                <c:pt idx="0">
                  <c:v>3.1194999999999999</c:v>
                </c:pt>
                <c:pt idx="1">
                  <c:v>3.0263749999999998</c:v>
                </c:pt>
                <c:pt idx="2">
                  <c:v>3.1582500000000002</c:v>
                </c:pt>
                <c:pt idx="3">
                  <c:v>3.0962499999999999</c:v>
                </c:pt>
                <c:pt idx="4">
                  <c:v>3.0203749999999996</c:v>
                </c:pt>
                <c:pt idx="5">
                  <c:v>2.92475</c:v>
                </c:pt>
                <c:pt idx="6">
                  <c:v>2.4669999999999996</c:v>
                </c:pt>
                <c:pt idx="7">
                  <c:v>1.6523750000000001</c:v>
                </c:pt>
                <c:pt idx="8">
                  <c:v>1.0233749999999999</c:v>
                </c:pt>
                <c:pt idx="9">
                  <c:v>0.61450000000000005</c:v>
                </c:pt>
              </c:numCache>
            </c:numRef>
          </c:val>
        </c:ser>
        <c:ser>
          <c:idx val="3"/>
          <c:order val="3"/>
          <c:tx>
            <c:strRef>
              <c:f>'16-1 and 16-2 on MA'!$A$42:$B$42</c:f>
              <c:strCache>
                <c:ptCount val="1"/>
                <c:pt idx="0">
                  <c:v>16CH2-4 MA</c:v>
                </c:pt>
              </c:strCache>
            </c:strRef>
          </c:tx>
          <c:invertIfNegative val="0"/>
          <c:cat>
            <c:numRef>
              <c:f>'16-1 and 16-2 on MA'!$C$28:$L$28</c:f>
              <c:numCache>
                <c:formatCode>General</c:formatCode>
                <c:ptCount val="10"/>
                <c:pt idx="0">
                  <c:v>1000</c:v>
                </c:pt>
                <c:pt idx="1">
                  <c:v>500</c:v>
                </c:pt>
                <c:pt idx="2">
                  <c:v>250</c:v>
                </c:pt>
                <c:pt idx="3">
                  <c:v>125</c:v>
                </c:pt>
                <c:pt idx="4">
                  <c:v>62.5</c:v>
                </c:pt>
                <c:pt idx="5">
                  <c:v>31.25</c:v>
                </c:pt>
                <c:pt idx="6">
                  <c:v>15.625</c:v>
                </c:pt>
                <c:pt idx="7">
                  <c:v>7.8125</c:v>
                </c:pt>
                <c:pt idx="8">
                  <c:v>3.90625</c:v>
                </c:pt>
                <c:pt idx="9">
                  <c:v>1.953125</c:v>
                </c:pt>
              </c:numCache>
            </c:numRef>
          </c:cat>
          <c:val>
            <c:numRef>
              <c:f>'16-1 and 16-2 on MA'!$C$42:$L$42</c:f>
              <c:numCache>
                <c:formatCode>General</c:formatCode>
                <c:ptCount val="10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4"/>
        <c:overlap val="-3"/>
        <c:axId val="751652224"/>
        <c:axId val="751662208"/>
      </c:barChart>
      <c:catAx>
        <c:axId val="7516522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1662208"/>
        <c:crosses val="autoZero"/>
        <c:auto val="1"/>
        <c:lblAlgn val="ctr"/>
        <c:lblOffset val="100"/>
        <c:noMultiLvlLbl val="0"/>
      </c:catAx>
      <c:valAx>
        <c:axId val="7516622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165222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2"/>
          <c:tx>
            <c:strRef>
              <c:f>'16-1 and 16-2 on MA'!$A$39:$B$39</c:f>
              <c:strCache>
                <c:ptCount val="1"/>
                <c:pt idx="0">
                  <c:v>16CH1-4 MA</c:v>
                </c:pt>
              </c:strCache>
            </c:strRef>
          </c:tx>
          <c:invertIfNegative val="0"/>
          <c:cat>
            <c:numRef>
              <c:f>'16-1 and 16-2 on MA'!$C$28:$L$28</c:f>
              <c:numCache>
                <c:formatCode>General</c:formatCode>
                <c:ptCount val="10"/>
                <c:pt idx="0">
                  <c:v>1000</c:v>
                </c:pt>
                <c:pt idx="1">
                  <c:v>500</c:v>
                </c:pt>
                <c:pt idx="2">
                  <c:v>250</c:v>
                </c:pt>
                <c:pt idx="3">
                  <c:v>125</c:v>
                </c:pt>
                <c:pt idx="4">
                  <c:v>62.5</c:v>
                </c:pt>
                <c:pt idx="5">
                  <c:v>31.25</c:v>
                </c:pt>
                <c:pt idx="6">
                  <c:v>15.625</c:v>
                </c:pt>
                <c:pt idx="7">
                  <c:v>7.8125</c:v>
                </c:pt>
                <c:pt idx="8">
                  <c:v>3.90625</c:v>
                </c:pt>
                <c:pt idx="9">
                  <c:v>1.953125</c:v>
                </c:pt>
              </c:numCache>
            </c:numRef>
          </c:cat>
          <c:val>
            <c:numRef>
              <c:f>'16-1 and 16-2 on MA'!$C$39:$L$39</c:f>
              <c:numCache>
                <c:formatCode>General</c:formatCode>
                <c:ptCount val="10"/>
                <c:pt idx="0">
                  <c:v>3.0066250000000001</c:v>
                </c:pt>
                <c:pt idx="1">
                  <c:v>2.9955000000000003</c:v>
                </c:pt>
                <c:pt idx="2">
                  <c:v>2.9196249999999999</c:v>
                </c:pt>
                <c:pt idx="3">
                  <c:v>2.9402499999999998</c:v>
                </c:pt>
                <c:pt idx="4">
                  <c:v>2.6392500000000001</c:v>
                </c:pt>
                <c:pt idx="5">
                  <c:v>2.0702500000000001</c:v>
                </c:pt>
                <c:pt idx="6">
                  <c:v>1.259625</c:v>
                </c:pt>
                <c:pt idx="7">
                  <c:v>0.74562499999999998</c:v>
                </c:pt>
                <c:pt idx="8">
                  <c:v>0.42300000000000004</c:v>
                </c:pt>
                <c:pt idx="9">
                  <c:v>0.25187500000000002</c:v>
                </c:pt>
              </c:numCache>
            </c:numRef>
          </c:val>
        </c:ser>
        <c:ser>
          <c:idx val="1"/>
          <c:order val="3"/>
          <c:tx>
            <c:strRef>
              <c:f>'16-1 and 16-2 on MA'!$A$40:$B$40</c:f>
              <c:strCache>
                <c:ptCount val="1"/>
                <c:pt idx="0">
                  <c:v>16CH1-4 MA</c:v>
                </c:pt>
              </c:strCache>
            </c:strRef>
          </c:tx>
          <c:invertIfNegative val="0"/>
          <c:cat>
            <c:numRef>
              <c:f>'16-1 and 16-2 on MA'!$C$28:$L$28</c:f>
              <c:numCache>
                <c:formatCode>General</c:formatCode>
                <c:ptCount val="10"/>
                <c:pt idx="0">
                  <c:v>1000</c:v>
                </c:pt>
                <c:pt idx="1">
                  <c:v>500</c:v>
                </c:pt>
                <c:pt idx="2">
                  <c:v>250</c:v>
                </c:pt>
                <c:pt idx="3">
                  <c:v>125</c:v>
                </c:pt>
                <c:pt idx="4">
                  <c:v>62.5</c:v>
                </c:pt>
                <c:pt idx="5">
                  <c:v>31.25</c:v>
                </c:pt>
                <c:pt idx="6">
                  <c:v>15.625</c:v>
                </c:pt>
                <c:pt idx="7">
                  <c:v>7.8125</c:v>
                </c:pt>
                <c:pt idx="8">
                  <c:v>3.90625</c:v>
                </c:pt>
                <c:pt idx="9">
                  <c:v>1.953125</c:v>
                </c:pt>
              </c:numCache>
            </c:numRef>
          </c:cat>
          <c:val>
            <c:numRef>
              <c:f>'16-1 and 16-2 on MA'!$C$40:$L$40</c:f>
              <c:numCache>
                <c:formatCode>General</c:formatCode>
                <c:ptCount val="10"/>
              </c:numCache>
            </c:numRef>
          </c:val>
        </c:ser>
        <c:ser>
          <c:idx val="2"/>
          <c:order val="0"/>
          <c:tx>
            <c:strRef>
              <c:f>'16-1 and 16-2 on MA'!$A$41:$B$41</c:f>
              <c:strCache>
                <c:ptCount val="1"/>
                <c:pt idx="0">
                  <c:v>16CH2-4 MA</c:v>
                </c:pt>
              </c:strCache>
            </c:strRef>
          </c:tx>
          <c:invertIfNegative val="0"/>
          <c:cat>
            <c:numRef>
              <c:f>'16-1 and 16-2 on MA'!$C$28:$L$28</c:f>
              <c:numCache>
                <c:formatCode>General</c:formatCode>
                <c:ptCount val="10"/>
                <c:pt idx="0">
                  <c:v>1000</c:v>
                </c:pt>
                <c:pt idx="1">
                  <c:v>500</c:v>
                </c:pt>
                <c:pt idx="2">
                  <c:v>250</c:v>
                </c:pt>
                <c:pt idx="3">
                  <c:v>125</c:v>
                </c:pt>
                <c:pt idx="4">
                  <c:v>62.5</c:v>
                </c:pt>
                <c:pt idx="5">
                  <c:v>31.25</c:v>
                </c:pt>
                <c:pt idx="6">
                  <c:v>15.625</c:v>
                </c:pt>
                <c:pt idx="7">
                  <c:v>7.8125</c:v>
                </c:pt>
                <c:pt idx="8">
                  <c:v>3.90625</c:v>
                </c:pt>
                <c:pt idx="9">
                  <c:v>1.953125</c:v>
                </c:pt>
              </c:numCache>
            </c:numRef>
          </c:cat>
          <c:val>
            <c:numRef>
              <c:f>'16-1 and 16-2 on MA'!$C$41:$L$41</c:f>
              <c:numCache>
                <c:formatCode>General</c:formatCode>
                <c:ptCount val="10"/>
                <c:pt idx="0">
                  <c:v>3.1194999999999999</c:v>
                </c:pt>
                <c:pt idx="1">
                  <c:v>3.0263749999999998</c:v>
                </c:pt>
                <c:pt idx="2">
                  <c:v>3.1582500000000002</c:v>
                </c:pt>
                <c:pt idx="3">
                  <c:v>3.0962499999999999</c:v>
                </c:pt>
                <c:pt idx="4">
                  <c:v>3.0203749999999996</c:v>
                </c:pt>
                <c:pt idx="5">
                  <c:v>2.92475</c:v>
                </c:pt>
                <c:pt idx="6">
                  <c:v>2.4669999999999996</c:v>
                </c:pt>
                <c:pt idx="7">
                  <c:v>1.6523750000000001</c:v>
                </c:pt>
                <c:pt idx="8">
                  <c:v>1.0233749999999999</c:v>
                </c:pt>
                <c:pt idx="9">
                  <c:v>0.61450000000000005</c:v>
                </c:pt>
              </c:numCache>
            </c:numRef>
          </c:val>
        </c:ser>
        <c:ser>
          <c:idx val="3"/>
          <c:order val="1"/>
          <c:tx>
            <c:strRef>
              <c:f>'16-1 and 16-2 on MA'!$A$42:$B$42</c:f>
              <c:strCache>
                <c:ptCount val="1"/>
                <c:pt idx="0">
                  <c:v>16CH2-4 MA</c:v>
                </c:pt>
              </c:strCache>
            </c:strRef>
          </c:tx>
          <c:invertIfNegative val="0"/>
          <c:cat>
            <c:numRef>
              <c:f>'16-1 and 16-2 on MA'!$C$28:$L$28</c:f>
              <c:numCache>
                <c:formatCode>General</c:formatCode>
                <c:ptCount val="10"/>
                <c:pt idx="0">
                  <c:v>1000</c:v>
                </c:pt>
                <c:pt idx="1">
                  <c:v>500</c:v>
                </c:pt>
                <c:pt idx="2">
                  <c:v>250</c:v>
                </c:pt>
                <c:pt idx="3">
                  <c:v>125</c:v>
                </c:pt>
                <c:pt idx="4">
                  <c:v>62.5</c:v>
                </c:pt>
                <c:pt idx="5">
                  <c:v>31.25</c:v>
                </c:pt>
                <c:pt idx="6">
                  <c:v>15.625</c:v>
                </c:pt>
                <c:pt idx="7">
                  <c:v>7.8125</c:v>
                </c:pt>
                <c:pt idx="8">
                  <c:v>3.90625</c:v>
                </c:pt>
                <c:pt idx="9">
                  <c:v>1.953125</c:v>
                </c:pt>
              </c:numCache>
            </c:numRef>
          </c:cat>
          <c:val>
            <c:numRef>
              <c:f>'16-1 and 16-2 on MA'!$C$42:$L$42</c:f>
              <c:numCache>
                <c:formatCode>General</c:formatCode>
                <c:ptCount val="10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51688704"/>
        <c:axId val="751690496"/>
      </c:barChart>
      <c:catAx>
        <c:axId val="751688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1690496"/>
        <c:crosses val="autoZero"/>
        <c:auto val="1"/>
        <c:lblAlgn val="ctr"/>
        <c:lblOffset val="100"/>
        <c:noMultiLvlLbl val="0"/>
      </c:catAx>
      <c:valAx>
        <c:axId val="7516904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168870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'16-1 and 16-2 on MA'!$A$39</c:f>
              <c:strCache>
                <c:ptCount val="1"/>
                <c:pt idx="0">
                  <c:v>16CH1-4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6350"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'16-1 and 16-2 on MA'!$C$30:$L$30</c:f>
                <c:numCache>
                  <c:formatCode>General</c:formatCode>
                  <c:ptCount val="10"/>
                  <c:pt idx="0">
                    <c:v>0.15381981573999415</c:v>
                  </c:pt>
                  <c:pt idx="1">
                    <c:v>0.15043205632918988</c:v>
                  </c:pt>
                  <c:pt idx="2">
                    <c:v>8.5912122876476843E-2</c:v>
                  </c:pt>
                  <c:pt idx="3">
                    <c:v>0.14164221777825584</c:v>
                  </c:pt>
                  <c:pt idx="4">
                    <c:v>0.18381323013164358</c:v>
                  </c:pt>
                  <c:pt idx="5">
                    <c:v>0.36960415601404767</c:v>
                  </c:pt>
                  <c:pt idx="6">
                    <c:v>0.26358754306139504</c:v>
                  </c:pt>
                  <c:pt idx="7">
                    <c:v>0.15990968433105326</c:v>
                  </c:pt>
                  <c:pt idx="8">
                    <c:v>0.12122890096248276</c:v>
                  </c:pt>
                  <c:pt idx="9">
                    <c:v>6.4529893404972671E-2</c:v>
                  </c:pt>
                </c:numCache>
              </c:numRef>
            </c:plus>
            <c:minus>
              <c:numRef>
                <c:f>'16-1 and 16-2 on MA'!$C$30:$L$30</c:f>
                <c:numCache>
                  <c:formatCode>General</c:formatCode>
                  <c:ptCount val="10"/>
                  <c:pt idx="0">
                    <c:v>0.15381981573999415</c:v>
                  </c:pt>
                  <c:pt idx="1">
                    <c:v>0.15043205632918988</c:v>
                  </c:pt>
                  <c:pt idx="2">
                    <c:v>8.5912122876476843E-2</c:v>
                  </c:pt>
                  <c:pt idx="3">
                    <c:v>0.14164221777825584</c:v>
                  </c:pt>
                  <c:pt idx="4">
                    <c:v>0.18381323013164358</c:v>
                  </c:pt>
                  <c:pt idx="5">
                    <c:v>0.36960415601404767</c:v>
                  </c:pt>
                  <c:pt idx="6">
                    <c:v>0.26358754306139504</c:v>
                  </c:pt>
                  <c:pt idx="7">
                    <c:v>0.15990968433105326</c:v>
                  </c:pt>
                  <c:pt idx="8">
                    <c:v>0.12122890096248276</c:v>
                  </c:pt>
                  <c:pt idx="9">
                    <c:v>6.4529893404972671E-2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'16-1 and 16-2 on MA'!$C$28:$L$28</c:f>
              <c:numCache>
                <c:formatCode>General</c:formatCode>
                <c:ptCount val="10"/>
                <c:pt idx="0">
                  <c:v>1000</c:v>
                </c:pt>
                <c:pt idx="1">
                  <c:v>500</c:v>
                </c:pt>
                <c:pt idx="2">
                  <c:v>250</c:v>
                </c:pt>
                <c:pt idx="3">
                  <c:v>125</c:v>
                </c:pt>
                <c:pt idx="4">
                  <c:v>62.5</c:v>
                </c:pt>
                <c:pt idx="5">
                  <c:v>31.25</c:v>
                </c:pt>
                <c:pt idx="6">
                  <c:v>15.625</c:v>
                </c:pt>
                <c:pt idx="7">
                  <c:v>7.8125</c:v>
                </c:pt>
                <c:pt idx="8">
                  <c:v>3.90625</c:v>
                </c:pt>
                <c:pt idx="9">
                  <c:v>1.953125</c:v>
                </c:pt>
              </c:numCache>
            </c:numRef>
          </c:cat>
          <c:val>
            <c:numRef>
              <c:f>'16-1 and 16-2 on MA'!$C$39:$L$39</c:f>
              <c:numCache>
                <c:formatCode>General</c:formatCode>
                <c:ptCount val="10"/>
                <c:pt idx="0">
                  <c:v>3.0066250000000001</c:v>
                </c:pt>
                <c:pt idx="1">
                  <c:v>2.9955000000000003</c:v>
                </c:pt>
                <c:pt idx="2">
                  <c:v>2.9196249999999999</c:v>
                </c:pt>
                <c:pt idx="3">
                  <c:v>2.9402499999999998</c:v>
                </c:pt>
                <c:pt idx="4">
                  <c:v>2.6392500000000001</c:v>
                </c:pt>
                <c:pt idx="5">
                  <c:v>2.0702500000000001</c:v>
                </c:pt>
                <c:pt idx="6">
                  <c:v>1.259625</c:v>
                </c:pt>
                <c:pt idx="7">
                  <c:v>0.74562499999999998</c:v>
                </c:pt>
                <c:pt idx="8">
                  <c:v>0.42300000000000004</c:v>
                </c:pt>
                <c:pt idx="9">
                  <c:v>0.25187500000000002</c:v>
                </c:pt>
              </c:numCache>
            </c:numRef>
          </c:val>
        </c:ser>
        <c:ser>
          <c:idx val="2"/>
          <c:order val="1"/>
          <c:tx>
            <c:strRef>
              <c:f>'16-1 and 16-2 on MA'!$A$41</c:f>
              <c:strCache>
                <c:ptCount val="1"/>
                <c:pt idx="0">
                  <c:v>16CH2-4</c:v>
                </c:pt>
              </c:strCache>
            </c:strRef>
          </c:tx>
          <c:spPr>
            <a:solidFill>
              <a:schemeClr val="bg2"/>
            </a:solidFill>
            <a:ln w="6350"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'16-1 and 16-2 on MA'!$C$34:$L$34</c:f>
                <c:numCache>
                  <c:formatCode>General</c:formatCode>
                  <c:ptCount val="10"/>
                  <c:pt idx="0">
                    <c:v>0.14421022600951114</c:v>
                  </c:pt>
                  <c:pt idx="1">
                    <c:v>0.15225131948759688</c:v>
                  </c:pt>
                  <c:pt idx="2">
                    <c:v>0.2095383105101036</c:v>
                  </c:pt>
                  <c:pt idx="3">
                    <c:v>0.12461232741128435</c:v>
                  </c:pt>
                  <c:pt idx="4">
                    <c:v>0.22905699540257909</c:v>
                  </c:pt>
                  <c:pt idx="5">
                    <c:v>0.1523492814929843</c:v>
                  </c:pt>
                  <c:pt idx="6">
                    <c:v>0.37043114359197488</c:v>
                  </c:pt>
                  <c:pt idx="7">
                    <c:v>0.41808034942033412</c:v>
                  </c:pt>
                  <c:pt idx="8">
                    <c:v>0.32912334856620018</c:v>
                  </c:pt>
                  <c:pt idx="9">
                    <c:v>0.19273153978674964</c:v>
                  </c:pt>
                </c:numCache>
              </c:numRef>
            </c:plus>
            <c:minus>
              <c:numRef>
                <c:f>'16-1 and 16-2 on MA'!$C$34:$L$34</c:f>
                <c:numCache>
                  <c:formatCode>General</c:formatCode>
                  <c:ptCount val="10"/>
                  <c:pt idx="0">
                    <c:v>0.14421022600951114</c:v>
                  </c:pt>
                  <c:pt idx="1">
                    <c:v>0.15225131948759688</c:v>
                  </c:pt>
                  <c:pt idx="2">
                    <c:v>0.2095383105101036</c:v>
                  </c:pt>
                  <c:pt idx="3">
                    <c:v>0.12461232741128435</c:v>
                  </c:pt>
                  <c:pt idx="4">
                    <c:v>0.22905699540257909</c:v>
                  </c:pt>
                  <c:pt idx="5">
                    <c:v>0.1523492814929843</c:v>
                  </c:pt>
                  <c:pt idx="6">
                    <c:v>0.37043114359197488</c:v>
                  </c:pt>
                  <c:pt idx="7">
                    <c:v>0.41808034942033412</c:v>
                  </c:pt>
                  <c:pt idx="8">
                    <c:v>0.32912334856620018</c:v>
                  </c:pt>
                  <c:pt idx="9">
                    <c:v>0.19273153978674964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'16-1 and 16-2 on MA'!$C$28:$L$28</c:f>
              <c:numCache>
                <c:formatCode>General</c:formatCode>
                <c:ptCount val="10"/>
                <c:pt idx="0">
                  <c:v>1000</c:v>
                </c:pt>
                <c:pt idx="1">
                  <c:v>500</c:v>
                </c:pt>
                <c:pt idx="2">
                  <c:v>250</c:v>
                </c:pt>
                <c:pt idx="3">
                  <c:v>125</c:v>
                </c:pt>
                <c:pt idx="4">
                  <c:v>62.5</c:v>
                </c:pt>
                <c:pt idx="5">
                  <c:v>31.25</c:v>
                </c:pt>
                <c:pt idx="6">
                  <c:v>15.625</c:v>
                </c:pt>
                <c:pt idx="7">
                  <c:v>7.8125</c:v>
                </c:pt>
                <c:pt idx="8">
                  <c:v>3.90625</c:v>
                </c:pt>
                <c:pt idx="9">
                  <c:v>1.953125</c:v>
                </c:pt>
              </c:numCache>
            </c:numRef>
          </c:cat>
          <c:val>
            <c:numRef>
              <c:f>'16-1 and 16-2 on MA'!$C$41:$L$41</c:f>
              <c:numCache>
                <c:formatCode>General</c:formatCode>
                <c:ptCount val="10"/>
                <c:pt idx="0">
                  <c:v>3.1194999999999999</c:v>
                </c:pt>
                <c:pt idx="1">
                  <c:v>3.0263749999999998</c:v>
                </c:pt>
                <c:pt idx="2">
                  <c:v>3.1582500000000002</c:v>
                </c:pt>
                <c:pt idx="3">
                  <c:v>3.0962499999999999</c:v>
                </c:pt>
                <c:pt idx="4">
                  <c:v>3.0203749999999996</c:v>
                </c:pt>
                <c:pt idx="5">
                  <c:v>2.92475</c:v>
                </c:pt>
                <c:pt idx="6">
                  <c:v>2.4669999999999996</c:v>
                </c:pt>
                <c:pt idx="7">
                  <c:v>1.6523750000000001</c:v>
                </c:pt>
                <c:pt idx="8">
                  <c:v>1.0233749999999999</c:v>
                </c:pt>
                <c:pt idx="9">
                  <c:v>0.61450000000000005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51720320"/>
        <c:axId val="751747072"/>
      </c:barChart>
      <c:catAx>
        <c:axId val="7517203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ZA" sz="110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Concentration (µg/ml)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51747072"/>
        <c:crosses val="autoZero"/>
        <c:auto val="1"/>
        <c:lblAlgn val="ctr"/>
        <c:lblOffset val="100"/>
        <c:noMultiLvlLbl val="0"/>
      </c:catAx>
      <c:valAx>
        <c:axId val="75174707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ZA" sz="110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Absorbance (450 nm)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51720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'18-1 and 18-2 on MA'!$A$38</c:f>
              <c:strCache>
                <c:ptCount val="1"/>
                <c:pt idx="0">
                  <c:v>18CH1-4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6350"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'18-1 and 18-2 on MA'!$C$30:$L$30</c:f>
                <c:numCache>
                  <c:formatCode>General</c:formatCode>
                  <c:ptCount val="10"/>
                  <c:pt idx="0">
                    <c:v>0.32421267959033145</c:v>
                  </c:pt>
                  <c:pt idx="1">
                    <c:v>0.18019732487708348</c:v>
                  </c:pt>
                  <c:pt idx="2">
                    <c:v>0.23831897330198945</c:v>
                  </c:pt>
                  <c:pt idx="3">
                    <c:v>0.70222475861161571</c:v>
                  </c:pt>
                  <c:pt idx="4">
                    <c:v>0.88167134557449711</c:v>
                  </c:pt>
                  <c:pt idx="5">
                    <c:v>0.81791750206152891</c:v>
                  </c:pt>
                  <c:pt idx="6">
                    <c:v>0.60470220312504686</c:v>
                  </c:pt>
                  <c:pt idx="7">
                    <c:v>0.4231986246348835</c:v>
                  </c:pt>
                  <c:pt idx="8">
                    <c:v>0.21036415068365891</c:v>
                  </c:pt>
                  <c:pt idx="9">
                    <c:v>7.1998294870682281E-2</c:v>
                  </c:pt>
                </c:numCache>
              </c:numRef>
            </c:plus>
            <c:minus>
              <c:numRef>
                <c:f>'18-1 and 18-2 on MA'!$C$30:$L$30</c:f>
                <c:numCache>
                  <c:formatCode>General</c:formatCode>
                  <c:ptCount val="10"/>
                  <c:pt idx="0">
                    <c:v>0.32421267959033145</c:v>
                  </c:pt>
                  <c:pt idx="1">
                    <c:v>0.18019732487708348</c:v>
                  </c:pt>
                  <c:pt idx="2">
                    <c:v>0.23831897330198945</c:v>
                  </c:pt>
                  <c:pt idx="3">
                    <c:v>0.70222475861161571</c:v>
                  </c:pt>
                  <c:pt idx="4">
                    <c:v>0.88167134557449711</c:v>
                  </c:pt>
                  <c:pt idx="5">
                    <c:v>0.81791750206152891</c:v>
                  </c:pt>
                  <c:pt idx="6">
                    <c:v>0.60470220312504686</c:v>
                  </c:pt>
                  <c:pt idx="7">
                    <c:v>0.4231986246348835</c:v>
                  </c:pt>
                  <c:pt idx="8">
                    <c:v>0.21036415068365891</c:v>
                  </c:pt>
                  <c:pt idx="9">
                    <c:v>7.1998294870682281E-2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'18-1 and 18-2 on MA'!$C$28:$L$28</c:f>
              <c:numCache>
                <c:formatCode>General</c:formatCode>
                <c:ptCount val="10"/>
                <c:pt idx="0">
                  <c:v>1000</c:v>
                </c:pt>
                <c:pt idx="1">
                  <c:v>500</c:v>
                </c:pt>
                <c:pt idx="2">
                  <c:v>250</c:v>
                </c:pt>
                <c:pt idx="3">
                  <c:v>125</c:v>
                </c:pt>
                <c:pt idx="4">
                  <c:v>62.5</c:v>
                </c:pt>
                <c:pt idx="5">
                  <c:v>31.25</c:v>
                </c:pt>
                <c:pt idx="6">
                  <c:v>15.625</c:v>
                </c:pt>
                <c:pt idx="7">
                  <c:v>7.8125</c:v>
                </c:pt>
                <c:pt idx="8">
                  <c:v>3.90625</c:v>
                </c:pt>
                <c:pt idx="9">
                  <c:v>1.953125</c:v>
                </c:pt>
              </c:numCache>
            </c:numRef>
          </c:cat>
          <c:val>
            <c:numRef>
              <c:f>'18-1 and 18-2 on MA'!$C$38:$L$38</c:f>
              <c:numCache>
                <c:formatCode>General</c:formatCode>
                <c:ptCount val="10"/>
                <c:pt idx="0">
                  <c:v>3.0808124999999995</c:v>
                </c:pt>
                <c:pt idx="1">
                  <c:v>2.9620624999999996</c:v>
                </c:pt>
                <c:pt idx="2">
                  <c:v>2.8150625000000002</c:v>
                </c:pt>
                <c:pt idx="3">
                  <c:v>2.2623125000000002</c:v>
                </c:pt>
                <c:pt idx="4">
                  <c:v>1.8323124999999998</c:v>
                </c:pt>
                <c:pt idx="5">
                  <c:v>1.2163125000000001</c:v>
                </c:pt>
                <c:pt idx="6">
                  <c:v>0.69556249999999997</c:v>
                </c:pt>
                <c:pt idx="7">
                  <c:v>0.37081250000000004</c:v>
                </c:pt>
                <c:pt idx="8">
                  <c:v>0.2558125</c:v>
                </c:pt>
                <c:pt idx="9">
                  <c:v>0.21181250000000001</c:v>
                </c:pt>
              </c:numCache>
            </c:numRef>
          </c:val>
        </c:ser>
        <c:ser>
          <c:idx val="2"/>
          <c:order val="1"/>
          <c:tx>
            <c:strRef>
              <c:f>'18-1 and 18-2 on MA'!$A$40</c:f>
              <c:strCache>
                <c:ptCount val="1"/>
                <c:pt idx="0">
                  <c:v>18CH2-4</c:v>
                </c:pt>
              </c:strCache>
            </c:strRef>
          </c:tx>
          <c:spPr>
            <a:solidFill>
              <a:schemeClr val="bg2"/>
            </a:solidFill>
            <a:ln w="6350"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'18-1 and 18-2 on MA'!$C$34:$L$34</c:f>
                <c:numCache>
                  <c:formatCode>General</c:formatCode>
                  <c:ptCount val="10"/>
                  <c:pt idx="0">
                    <c:v>0.14270825947165272</c:v>
                  </c:pt>
                  <c:pt idx="1">
                    <c:v>0.13783713539121872</c:v>
                  </c:pt>
                  <c:pt idx="2">
                    <c:v>0.1591021824623588</c:v>
                  </c:pt>
                  <c:pt idx="3">
                    <c:v>0.1259268672399069</c:v>
                  </c:pt>
                  <c:pt idx="4">
                    <c:v>0.24223152480043317</c:v>
                  </c:pt>
                  <c:pt idx="5">
                    <c:v>0.49808196847650249</c:v>
                  </c:pt>
                  <c:pt idx="6">
                    <c:v>0.99043401606496295</c:v>
                  </c:pt>
                  <c:pt idx="7">
                    <c:v>1.0647975515997672</c:v>
                  </c:pt>
                  <c:pt idx="8">
                    <c:v>0.65501090844242638</c:v>
                  </c:pt>
                  <c:pt idx="9">
                    <c:v>0.48987455117903134</c:v>
                  </c:pt>
                </c:numCache>
              </c:numRef>
            </c:plus>
            <c:minus>
              <c:numRef>
                <c:f>'18-1 and 18-2 on MA'!$C$34:$L$34</c:f>
                <c:numCache>
                  <c:formatCode>General</c:formatCode>
                  <c:ptCount val="10"/>
                  <c:pt idx="0">
                    <c:v>0.14270825947165272</c:v>
                  </c:pt>
                  <c:pt idx="1">
                    <c:v>0.13783713539121872</c:v>
                  </c:pt>
                  <c:pt idx="2">
                    <c:v>0.1591021824623588</c:v>
                  </c:pt>
                  <c:pt idx="3">
                    <c:v>0.1259268672399069</c:v>
                  </c:pt>
                  <c:pt idx="4">
                    <c:v>0.24223152480043317</c:v>
                  </c:pt>
                  <c:pt idx="5">
                    <c:v>0.49808196847650249</c:v>
                  </c:pt>
                  <c:pt idx="6">
                    <c:v>0.99043401606496295</c:v>
                  </c:pt>
                  <c:pt idx="7">
                    <c:v>1.0647975515997672</c:v>
                  </c:pt>
                  <c:pt idx="8">
                    <c:v>0.65501090844242638</c:v>
                  </c:pt>
                  <c:pt idx="9">
                    <c:v>0.48987455117903134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'18-1 and 18-2 on MA'!$C$28:$L$28</c:f>
              <c:numCache>
                <c:formatCode>General</c:formatCode>
                <c:ptCount val="10"/>
                <c:pt idx="0">
                  <c:v>1000</c:v>
                </c:pt>
                <c:pt idx="1">
                  <c:v>500</c:v>
                </c:pt>
                <c:pt idx="2">
                  <c:v>250</c:v>
                </c:pt>
                <c:pt idx="3">
                  <c:v>125</c:v>
                </c:pt>
                <c:pt idx="4">
                  <c:v>62.5</c:v>
                </c:pt>
                <c:pt idx="5">
                  <c:v>31.25</c:v>
                </c:pt>
                <c:pt idx="6">
                  <c:v>15.625</c:v>
                </c:pt>
                <c:pt idx="7">
                  <c:v>7.8125</c:v>
                </c:pt>
                <c:pt idx="8">
                  <c:v>3.90625</c:v>
                </c:pt>
                <c:pt idx="9">
                  <c:v>1.953125</c:v>
                </c:pt>
              </c:numCache>
            </c:numRef>
          </c:cat>
          <c:val>
            <c:numRef>
              <c:f>'18-1 and 18-2 on MA'!$C$40:$L$40</c:f>
              <c:numCache>
                <c:formatCode>General</c:formatCode>
                <c:ptCount val="10"/>
                <c:pt idx="0">
                  <c:v>3.1175625</c:v>
                </c:pt>
                <c:pt idx="1">
                  <c:v>3.0903125</c:v>
                </c:pt>
                <c:pt idx="2">
                  <c:v>3.0350625</c:v>
                </c:pt>
                <c:pt idx="3">
                  <c:v>3.0758125000000001</c:v>
                </c:pt>
                <c:pt idx="4">
                  <c:v>2.9074374999999999</c:v>
                </c:pt>
                <c:pt idx="5">
                  <c:v>2.5295625000000004</c:v>
                </c:pt>
                <c:pt idx="6">
                  <c:v>2.1489374999999997</c:v>
                </c:pt>
                <c:pt idx="7">
                  <c:v>2.2120624999999996</c:v>
                </c:pt>
                <c:pt idx="8">
                  <c:v>1.9984374999999996</c:v>
                </c:pt>
                <c:pt idx="9">
                  <c:v>1.3698124999999999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51904640"/>
        <c:axId val="751906816"/>
      </c:barChart>
      <c:catAx>
        <c:axId val="7519046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ZA" sz="110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Concentration (µg/ml)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51906816"/>
        <c:crosses val="autoZero"/>
        <c:auto val="1"/>
        <c:lblAlgn val="ctr"/>
        <c:lblOffset val="100"/>
        <c:noMultiLvlLbl val="0"/>
      </c:catAx>
      <c:valAx>
        <c:axId val="75190681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ZA" sz="110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Absorbance (450</a:t>
                </a:r>
                <a:r>
                  <a:rPr lang="en-ZA" sz="11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nm)</a:t>
                </a:r>
                <a:endParaRPr lang="en-ZA" sz="1100">
                  <a:solidFill>
                    <a:sysClr val="windowText" lastClr="000000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51904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9818868293637211"/>
          <c:y val="0.45606674854844459"/>
          <c:w val="8.0279225966319423E-2"/>
          <c:h val="8.78662848618065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'12-2 titrated'!$A$21:$B$21</c:f>
              <c:strCache>
                <c:ptCount val="1"/>
                <c:pt idx="0">
                  <c:v>12CH2-4 Hex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 w="12700"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'12-2 titrated'!$C$6:$M$6</c:f>
                <c:numCache>
                  <c:formatCode>General</c:formatCode>
                  <c:ptCount val="11"/>
                  <c:pt idx="0">
                    <c:v>3.4971416900091423E-2</c:v>
                  </c:pt>
                  <c:pt idx="1">
                    <c:v>4.4317039612320683E-2</c:v>
                  </c:pt>
                  <c:pt idx="2">
                    <c:v>4.6072406781789324E-2</c:v>
                  </c:pt>
                  <c:pt idx="3">
                    <c:v>5.3118578043216971E-2</c:v>
                  </c:pt>
                  <c:pt idx="4">
                    <c:v>6.4665807554430715E-2</c:v>
                  </c:pt>
                  <c:pt idx="5">
                    <c:v>5.6811823886699302E-2</c:v>
                  </c:pt>
                  <c:pt idx="6">
                    <c:v>5.8543431171510077E-2</c:v>
                  </c:pt>
                  <c:pt idx="7">
                    <c:v>6.2649155354774472E-2</c:v>
                  </c:pt>
                  <c:pt idx="8">
                    <c:v>5.5361689521425075E-2</c:v>
                  </c:pt>
                  <c:pt idx="9">
                    <c:v>4.5646284989397906E-2</c:v>
                  </c:pt>
                  <c:pt idx="10">
                    <c:v>3.2948191654980599E-2</c:v>
                  </c:pt>
                </c:numCache>
              </c:numRef>
            </c:plus>
            <c:minus>
              <c:numRef>
                <c:f>'12-2 titrated'!$C$6:$M$6</c:f>
                <c:numCache>
                  <c:formatCode>General</c:formatCode>
                  <c:ptCount val="11"/>
                  <c:pt idx="0">
                    <c:v>3.4971416900091423E-2</c:v>
                  </c:pt>
                  <c:pt idx="1">
                    <c:v>4.4317039612320683E-2</c:v>
                  </c:pt>
                  <c:pt idx="2">
                    <c:v>4.6072406781789324E-2</c:v>
                  </c:pt>
                  <c:pt idx="3">
                    <c:v>5.3118578043216971E-2</c:v>
                  </c:pt>
                  <c:pt idx="4">
                    <c:v>6.4665807554430715E-2</c:v>
                  </c:pt>
                  <c:pt idx="5">
                    <c:v>5.6811823886699302E-2</c:v>
                  </c:pt>
                  <c:pt idx="6">
                    <c:v>5.8543431171510077E-2</c:v>
                  </c:pt>
                  <c:pt idx="7">
                    <c:v>6.2649155354774472E-2</c:v>
                  </c:pt>
                  <c:pt idx="8">
                    <c:v>5.5361689521425075E-2</c:v>
                  </c:pt>
                  <c:pt idx="9">
                    <c:v>4.5646284989397906E-2</c:v>
                  </c:pt>
                  <c:pt idx="10">
                    <c:v>3.2948191654980599E-2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bg1">
                    <a:lumMod val="50000"/>
                  </a:schemeClr>
                </a:solidFill>
                <a:round/>
              </a:ln>
              <a:effectLst/>
            </c:spPr>
          </c:errBars>
          <c:cat>
            <c:numRef>
              <c:f>'12-2 titrated'!$C$14:$M$14</c:f>
              <c:numCache>
                <c:formatCode>General</c:formatCode>
                <c:ptCount val="11"/>
                <c:pt idx="0">
                  <c:v>4</c:v>
                </c:pt>
                <c:pt idx="1">
                  <c:v>2</c:v>
                </c:pt>
                <c:pt idx="2">
                  <c:v>1</c:v>
                </c:pt>
                <c:pt idx="3">
                  <c:v>0.5</c:v>
                </c:pt>
                <c:pt idx="4">
                  <c:v>0.25</c:v>
                </c:pt>
                <c:pt idx="5">
                  <c:v>0.125</c:v>
                </c:pt>
                <c:pt idx="6">
                  <c:v>6.25E-2</c:v>
                </c:pt>
                <c:pt idx="7">
                  <c:v>3.125E-2</c:v>
                </c:pt>
                <c:pt idx="8">
                  <c:v>7.6249999999999998E-2</c:v>
                </c:pt>
                <c:pt idx="9">
                  <c:v>3.8124999999999999E-2</c:v>
                </c:pt>
                <c:pt idx="10">
                  <c:v>1.90625E-2</c:v>
                </c:pt>
              </c:numCache>
            </c:numRef>
          </c:cat>
          <c:val>
            <c:numRef>
              <c:f>'12-2 titrated'!$C$21:$M$21</c:f>
              <c:numCache>
                <c:formatCode>General</c:formatCode>
                <c:ptCount val="11"/>
                <c:pt idx="0">
                  <c:v>2.7000000000000007E-2</c:v>
                </c:pt>
                <c:pt idx="1">
                  <c:v>3.0499999999999999E-2</c:v>
                </c:pt>
                <c:pt idx="2">
                  <c:v>5.3500000000000006E-2</c:v>
                </c:pt>
                <c:pt idx="3">
                  <c:v>7.2750000000000009E-2</c:v>
                </c:pt>
                <c:pt idx="4">
                  <c:v>8.900000000000001E-2</c:v>
                </c:pt>
                <c:pt idx="5">
                  <c:v>9.6750000000000003E-2</c:v>
                </c:pt>
                <c:pt idx="6">
                  <c:v>8.6499999999999994E-2</c:v>
                </c:pt>
                <c:pt idx="7">
                  <c:v>8.1250000000000017E-2</c:v>
                </c:pt>
                <c:pt idx="8">
                  <c:v>6.3750000000000015E-2</c:v>
                </c:pt>
                <c:pt idx="9">
                  <c:v>3.5250000000000004E-2</c:v>
                </c:pt>
                <c:pt idx="10">
                  <c:v>3.3250000000000002E-2</c:v>
                </c:pt>
              </c:numCache>
            </c:numRef>
          </c:val>
        </c:ser>
        <c:ser>
          <c:idx val="0"/>
          <c:order val="1"/>
          <c:tx>
            <c:strRef>
              <c:f>'12-2 titrated'!$A$20:$B$20</c:f>
              <c:strCache>
                <c:ptCount val="1"/>
                <c:pt idx="0">
                  <c:v>12CH2-4 MA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2700"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'12-2 titrated'!$C$16:$M$16</c:f>
                <c:numCache>
                  <c:formatCode>General</c:formatCode>
                  <c:ptCount val="11"/>
                  <c:pt idx="0">
                    <c:v>8.4574917479514261E-2</c:v>
                  </c:pt>
                  <c:pt idx="1">
                    <c:v>0.20898963291672301</c:v>
                  </c:pt>
                  <c:pt idx="2">
                    <c:v>0.30541269892829637</c:v>
                  </c:pt>
                  <c:pt idx="3">
                    <c:v>0.24993782560202185</c:v>
                  </c:pt>
                  <c:pt idx="4">
                    <c:v>0.13984127907500465</c:v>
                  </c:pt>
                  <c:pt idx="5">
                    <c:v>9.5758376483034799E-2</c:v>
                  </c:pt>
                  <c:pt idx="6">
                    <c:v>5.4125625477525058E-2</c:v>
                  </c:pt>
                  <c:pt idx="7">
                    <c:v>2.3200215516240397E-2</c:v>
                  </c:pt>
                  <c:pt idx="8">
                    <c:v>2.1746647251166481E-2</c:v>
                  </c:pt>
                  <c:pt idx="9">
                    <c:v>2.2096379793984357E-2</c:v>
                  </c:pt>
                  <c:pt idx="10">
                    <c:v>1.377195217340906E-2</c:v>
                  </c:pt>
                </c:numCache>
              </c:numRef>
            </c:plus>
            <c:minus>
              <c:numRef>
                <c:f>'12-2 titrated'!$C$16:$M$16</c:f>
                <c:numCache>
                  <c:formatCode>General</c:formatCode>
                  <c:ptCount val="11"/>
                  <c:pt idx="0">
                    <c:v>8.4574917479514261E-2</c:v>
                  </c:pt>
                  <c:pt idx="1">
                    <c:v>0.20898963291672301</c:v>
                  </c:pt>
                  <c:pt idx="2">
                    <c:v>0.30541269892829637</c:v>
                  </c:pt>
                  <c:pt idx="3">
                    <c:v>0.24993782560202185</c:v>
                  </c:pt>
                  <c:pt idx="4">
                    <c:v>0.13984127907500465</c:v>
                  </c:pt>
                  <c:pt idx="5">
                    <c:v>9.5758376483034799E-2</c:v>
                  </c:pt>
                  <c:pt idx="6">
                    <c:v>5.4125625477525058E-2</c:v>
                  </c:pt>
                  <c:pt idx="7">
                    <c:v>2.3200215516240397E-2</c:v>
                  </c:pt>
                  <c:pt idx="8">
                    <c:v>2.1746647251166481E-2</c:v>
                  </c:pt>
                  <c:pt idx="9">
                    <c:v>2.2096379793984357E-2</c:v>
                  </c:pt>
                  <c:pt idx="10">
                    <c:v>1.377195217340906E-2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'12-2 titrated'!$C$14:$M$14</c:f>
              <c:numCache>
                <c:formatCode>General</c:formatCode>
                <c:ptCount val="11"/>
                <c:pt idx="0">
                  <c:v>4</c:v>
                </c:pt>
                <c:pt idx="1">
                  <c:v>2</c:v>
                </c:pt>
                <c:pt idx="2">
                  <c:v>1</c:v>
                </c:pt>
                <c:pt idx="3">
                  <c:v>0.5</c:v>
                </c:pt>
                <c:pt idx="4">
                  <c:v>0.25</c:v>
                </c:pt>
                <c:pt idx="5">
                  <c:v>0.125</c:v>
                </c:pt>
                <c:pt idx="6">
                  <c:v>6.25E-2</c:v>
                </c:pt>
                <c:pt idx="7">
                  <c:v>3.125E-2</c:v>
                </c:pt>
                <c:pt idx="8">
                  <c:v>7.6249999999999998E-2</c:v>
                </c:pt>
                <c:pt idx="9">
                  <c:v>3.8124999999999999E-2</c:v>
                </c:pt>
                <c:pt idx="10">
                  <c:v>1.90625E-2</c:v>
                </c:pt>
              </c:numCache>
            </c:numRef>
          </c:cat>
          <c:val>
            <c:numRef>
              <c:f>'12-2 titrated'!$C$20:$M$20</c:f>
              <c:numCache>
                <c:formatCode>General</c:formatCode>
                <c:ptCount val="11"/>
                <c:pt idx="0">
                  <c:v>2.9497499999999999</c:v>
                </c:pt>
                <c:pt idx="1">
                  <c:v>2.7065000000000001</c:v>
                </c:pt>
                <c:pt idx="2">
                  <c:v>1.8552500000000001</c:v>
                </c:pt>
                <c:pt idx="3">
                  <c:v>1.1227499999999999</c:v>
                </c:pt>
                <c:pt idx="4">
                  <c:v>0.63774999999999993</c:v>
                </c:pt>
                <c:pt idx="5">
                  <c:v>0.38600000000000001</c:v>
                </c:pt>
                <c:pt idx="6">
                  <c:v>0.20425000000000004</c:v>
                </c:pt>
                <c:pt idx="7">
                  <c:v>0.10775</c:v>
                </c:pt>
                <c:pt idx="8">
                  <c:v>5.7249999999999995E-2</c:v>
                </c:pt>
                <c:pt idx="9">
                  <c:v>2.1750000000000002E-2</c:v>
                </c:pt>
                <c:pt idx="10">
                  <c:v>3.1E-2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51945600"/>
        <c:axId val="752037888"/>
      </c:barChart>
      <c:catAx>
        <c:axId val="7519456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Concentration</a:t>
                </a:r>
                <a:r>
                  <a:rPr lang="en-ZA" baseline="0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(µg/ml)</a:t>
                </a:r>
                <a:endParaRPr lang="en-ZA">
                  <a:solidFill>
                    <a:schemeClr val="tx1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52037888"/>
        <c:crosses val="autoZero"/>
        <c:auto val="1"/>
        <c:lblAlgn val="ctr"/>
        <c:lblOffset val="100"/>
        <c:noMultiLvlLbl val="0"/>
      </c:catAx>
      <c:valAx>
        <c:axId val="752037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Abosrbacne (450 nm)</a:t>
                </a:r>
              </a:p>
            </c:rich>
          </c:tx>
          <c:layout>
            <c:manualLayout>
              <c:xMode val="edge"/>
              <c:yMode val="edge"/>
              <c:x val="1.9102750508916692E-2"/>
              <c:y val="0.43319480730040616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1945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'12-2 titrated'!$A$20</c:f>
              <c:strCache>
                <c:ptCount val="1"/>
                <c:pt idx="0">
                  <c:v>12CH2-4</c:v>
                </c:pt>
              </c:strCache>
            </c:strRef>
          </c:tx>
          <c:spPr>
            <a:solidFill>
              <a:schemeClr val="bg2"/>
            </a:solidFill>
            <a:ln w="6350"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'12-2 titrated'!$C$16:$M$16</c:f>
                <c:numCache>
                  <c:formatCode>General</c:formatCode>
                  <c:ptCount val="11"/>
                  <c:pt idx="0">
                    <c:v>8.4574917479514261E-2</c:v>
                  </c:pt>
                  <c:pt idx="1">
                    <c:v>0.20898963291672301</c:v>
                  </c:pt>
                  <c:pt idx="2">
                    <c:v>0.30541269892829637</c:v>
                  </c:pt>
                  <c:pt idx="3">
                    <c:v>0.24993782560202185</c:v>
                  </c:pt>
                  <c:pt idx="4">
                    <c:v>0.13984127907500465</c:v>
                  </c:pt>
                  <c:pt idx="5">
                    <c:v>9.5758376483034799E-2</c:v>
                  </c:pt>
                  <c:pt idx="6">
                    <c:v>5.4125625477525058E-2</c:v>
                  </c:pt>
                  <c:pt idx="7">
                    <c:v>2.3200215516240397E-2</c:v>
                  </c:pt>
                  <c:pt idx="8">
                    <c:v>2.1746647251166481E-2</c:v>
                  </c:pt>
                  <c:pt idx="9">
                    <c:v>2.2096379793984357E-2</c:v>
                  </c:pt>
                  <c:pt idx="10">
                    <c:v>1.377195217340906E-2</c:v>
                  </c:pt>
                </c:numCache>
              </c:numRef>
            </c:plus>
            <c:minus>
              <c:numRef>
                <c:f>'12-2 titrated'!$C$16:$M$16</c:f>
                <c:numCache>
                  <c:formatCode>General</c:formatCode>
                  <c:ptCount val="11"/>
                  <c:pt idx="0">
                    <c:v>8.4574917479514261E-2</c:v>
                  </c:pt>
                  <c:pt idx="1">
                    <c:v>0.20898963291672301</c:v>
                  </c:pt>
                  <c:pt idx="2">
                    <c:v>0.30541269892829637</c:v>
                  </c:pt>
                  <c:pt idx="3">
                    <c:v>0.24993782560202185</c:v>
                  </c:pt>
                  <c:pt idx="4">
                    <c:v>0.13984127907500465</c:v>
                  </c:pt>
                  <c:pt idx="5">
                    <c:v>9.5758376483034799E-2</c:v>
                  </c:pt>
                  <c:pt idx="6">
                    <c:v>5.4125625477525058E-2</c:v>
                  </c:pt>
                  <c:pt idx="7">
                    <c:v>2.3200215516240397E-2</c:v>
                  </c:pt>
                  <c:pt idx="8">
                    <c:v>2.1746647251166481E-2</c:v>
                  </c:pt>
                  <c:pt idx="9">
                    <c:v>2.2096379793984357E-2</c:v>
                  </c:pt>
                  <c:pt idx="10">
                    <c:v>1.377195217340906E-2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'12-2 titrated'!$C$14:$M$14</c:f>
              <c:numCache>
                <c:formatCode>General</c:formatCode>
                <c:ptCount val="11"/>
                <c:pt idx="0">
                  <c:v>4</c:v>
                </c:pt>
                <c:pt idx="1">
                  <c:v>2</c:v>
                </c:pt>
                <c:pt idx="2">
                  <c:v>1</c:v>
                </c:pt>
                <c:pt idx="3">
                  <c:v>0.5</c:v>
                </c:pt>
                <c:pt idx="4">
                  <c:v>0.25</c:v>
                </c:pt>
                <c:pt idx="5">
                  <c:v>0.125</c:v>
                </c:pt>
                <c:pt idx="6">
                  <c:v>6.25E-2</c:v>
                </c:pt>
                <c:pt idx="7">
                  <c:v>3.125E-2</c:v>
                </c:pt>
                <c:pt idx="8">
                  <c:v>7.6249999999999998E-2</c:v>
                </c:pt>
                <c:pt idx="9">
                  <c:v>3.8124999999999999E-2</c:v>
                </c:pt>
                <c:pt idx="10">
                  <c:v>1.90625E-2</c:v>
                </c:pt>
              </c:numCache>
            </c:numRef>
          </c:cat>
          <c:val>
            <c:numRef>
              <c:f>'12-2 titrated'!$C$20:$M$20</c:f>
              <c:numCache>
                <c:formatCode>General</c:formatCode>
                <c:ptCount val="11"/>
                <c:pt idx="0">
                  <c:v>2.9497499999999999</c:v>
                </c:pt>
                <c:pt idx="1">
                  <c:v>2.7065000000000001</c:v>
                </c:pt>
                <c:pt idx="2">
                  <c:v>1.8552500000000001</c:v>
                </c:pt>
                <c:pt idx="3">
                  <c:v>1.1227499999999999</c:v>
                </c:pt>
                <c:pt idx="4">
                  <c:v>0.63774999999999993</c:v>
                </c:pt>
                <c:pt idx="5">
                  <c:v>0.38600000000000001</c:v>
                </c:pt>
                <c:pt idx="6">
                  <c:v>0.20425000000000004</c:v>
                </c:pt>
                <c:pt idx="7">
                  <c:v>0.10775</c:v>
                </c:pt>
                <c:pt idx="8">
                  <c:v>5.7249999999999995E-2</c:v>
                </c:pt>
                <c:pt idx="9">
                  <c:v>2.1750000000000002E-2</c:v>
                </c:pt>
                <c:pt idx="10">
                  <c:v>3.1E-2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52062848"/>
        <c:axId val="752064768"/>
      </c:barChart>
      <c:catAx>
        <c:axId val="752062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Concentration</a:t>
                </a:r>
                <a:r>
                  <a:rPr lang="en-ZA" baseline="0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(µg/ml)</a:t>
                </a:r>
                <a:endParaRPr lang="en-ZA">
                  <a:solidFill>
                    <a:schemeClr val="tx1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52064768"/>
        <c:crosses val="autoZero"/>
        <c:auto val="1"/>
        <c:lblAlgn val="ctr"/>
        <c:lblOffset val="100"/>
        <c:noMultiLvlLbl val="0"/>
      </c:catAx>
      <c:valAx>
        <c:axId val="752064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Absorbance (450 nm)</a:t>
                </a:r>
              </a:p>
            </c:rich>
          </c:tx>
          <c:layout>
            <c:manualLayout>
              <c:xMode val="edge"/>
              <c:yMode val="edge"/>
              <c:x val="1.9102750508916692E-2"/>
              <c:y val="0.43319480730040616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2062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5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4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358140</xdr:colOff>
      <xdr:row>31</xdr:row>
      <xdr:rowOff>26670</xdr:rowOff>
    </xdr:from>
    <xdr:to>
      <xdr:col>22</xdr:col>
      <xdr:colOff>48491</xdr:colOff>
      <xdr:row>51</xdr:row>
      <xdr:rowOff>103909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187036</xdr:colOff>
      <xdr:row>49</xdr:row>
      <xdr:rowOff>34637</xdr:rowOff>
    </xdr:from>
    <xdr:to>
      <xdr:col>15</xdr:col>
      <xdr:colOff>187036</xdr:colOff>
      <xdr:row>51</xdr:row>
      <xdr:rowOff>55418</xdr:rowOff>
    </xdr:to>
    <xdr:cxnSp macro="">
      <xdr:nvCxnSpPr>
        <xdr:cNvPr id="6" name="Straight Connector 5"/>
        <xdr:cNvCxnSpPr/>
      </xdr:nvCxnSpPr>
      <xdr:spPr>
        <a:xfrm>
          <a:off x="9428018" y="8859982"/>
          <a:ext cx="0" cy="381000"/>
        </a:xfrm>
        <a:prstGeom prst="line">
          <a:avLst/>
        </a:prstGeom>
        <a:ln w="6350">
          <a:solidFill>
            <a:schemeClr val="bg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69269</xdr:colOff>
      <xdr:row>49</xdr:row>
      <xdr:rowOff>34637</xdr:rowOff>
    </xdr:from>
    <xdr:to>
      <xdr:col>16</xdr:col>
      <xdr:colOff>69269</xdr:colOff>
      <xdr:row>51</xdr:row>
      <xdr:rowOff>55418</xdr:rowOff>
    </xdr:to>
    <xdr:cxnSp macro="">
      <xdr:nvCxnSpPr>
        <xdr:cNvPr id="7" name="Straight Connector 6"/>
        <xdr:cNvCxnSpPr/>
      </xdr:nvCxnSpPr>
      <xdr:spPr>
        <a:xfrm>
          <a:off x="9919851" y="8943110"/>
          <a:ext cx="0" cy="380999"/>
        </a:xfrm>
        <a:prstGeom prst="line">
          <a:avLst/>
        </a:prstGeom>
        <a:ln w="6350">
          <a:solidFill>
            <a:schemeClr val="bg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526472</xdr:colOff>
      <xdr:row>49</xdr:row>
      <xdr:rowOff>34637</xdr:rowOff>
    </xdr:from>
    <xdr:to>
      <xdr:col>16</xdr:col>
      <xdr:colOff>526472</xdr:colOff>
      <xdr:row>51</xdr:row>
      <xdr:rowOff>55418</xdr:rowOff>
    </xdr:to>
    <xdr:cxnSp macro="">
      <xdr:nvCxnSpPr>
        <xdr:cNvPr id="8" name="Straight Connector 7"/>
        <xdr:cNvCxnSpPr/>
      </xdr:nvCxnSpPr>
      <xdr:spPr>
        <a:xfrm>
          <a:off x="10377054" y="8943110"/>
          <a:ext cx="0" cy="380999"/>
        </a:xfrm>
        <a:prstGeom prst="line">
          <a:avLst/>
        </a:prstGeom>
        <a:ln w="6350">
          <a:solidFill>
            <a:schemeClr val="bg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394854</xdr:colOff>
      <xdr:row>49</xdr:row>
      <xdr:rowOff>34637</xdr:rowOff>
    </xdr:from>
    <xdr:to>
      <xdr:col>17</xdr:col>
      <xdr:colOff>394854</xdr:colOff>
      <xdr:row>51</xdr:row>
      <xdr:rowOff>55418</xdr:rowOff>
    </xdr:to>
    <xdr:cxnSp macro="">
      <xdr:nvCxnSpPr>
        <xdr:cNvPr id="9" name="Straight Connector 8"/>
        <xdr:cNvCxnSpPr/>
      </xdr:nvCxnSpPr>
      <xdr:spPr>
        <a:xfrm>
          <a:off x="10855036" y="8943110"/>
          <a:ext cx="0" cy="380999"/>
        </a:xfrm>
        <a:prstGeom prst="line">
          <a:avLst/>
        </a:prstGeom>
        <a:ln w="6350">
          <a:solidFill>
            <a:schemeClr val="bg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228599</xdr:colOff>
      <xdr:row>49</xdr:row>
      <xdr:rowOff>34637</xdr:rowOff>
    </xdr:from>
    <xdr:to>
      <xdr:col>18</xdr:col>
      <xdr:colOff>228599</xdr:colOff>
      <xdr:row>51</xdr:row>
      <xdr:rowOff>55418</xdr:rowOff>
    </xdr:to>
    <xdr:cxnSp macro="">
      <xdr:nvCxnSpPr>
        <xdr:cNvPr id="10" name="Straight Connector 9"/>
        <xdr:cNvCxnSpPr/>
      </xdr:nvCxnSpPr>
      <xdr:spPr>
        <a:xfrm>
          <a:off x="11298381" y="8943110"/>
          <a:ext cx="0" cy="380999"/>
        </a:xfrm>
        <a:prstGeom prst="line">
          <a:avLst/>
        </a:prstGeom>
        <a:ln w="6350">
          <a:solidFill>
            <a:schemeClr val="bg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103909</xdr:colOff>
      <xdr:row>49</xdr:row>
      <xdr:rowOff>34637</xdr:rowOff>
    </xdr:from>
    <xdr:to>
      <xdr:col>19</xdr:col>
      <xdr:colOff>103909</xdr:colOff>
      <xdr:row>51</xdr:row>
      <xdr:rowOff>55418</xdr:rowOff>
    </xdr:to>
    <xdr:cxnSp macro="">
      <xdr:nvCxnSpPr>
        <xdr:cNvPr id="11" name="Straight Connector 10"/>
        <xdr:cNvCxnSpPr/>
      </xdr:nvCxnSpPr>
      <xdr:spPr>
        <a:xfrm>
          <a:off x="11783291" y="8943110"/>
          <a:ext cx="0" cy="380999"/>
        </a:xfrm>
        <a:prstGeom prst="line">
          <a:avLst/>
        </a:prstGeom>
        <a:ln w="6350">
          <a:solidFill>
            <a:schemeClr val="bg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574968</xdr:colOff>
      <xdr:row>49</xdr:row>
      <xdr:rowOff>27710</xdr:rowOff>
    </xdr:from>
    <xdr:to>
      <xdr:col>19</xdr:col>
      <xdr:colOff>574968</xdr:colOff>
      <xdr:row>51</xdr:row>
      <xdr:rowOff>48491</xdr:rowOff>
    </xdr:to>
    <xdr:cxnSp macro="">
      <xdr:nvCxnSpPr>
        <xdr:cNvPr id="12" name="Straight Connector 11"/>
        <xdr:cNvCxnSpPr/>
      </xdr:nvCxnSpPr>
      <xdr:spPr>
        <a:xfrm>
          <a:off x="12254350" y="8936183"/>
          <a:ext cx="0" cy="380999"/>
        </a:xfrm>
        <a:prstGeom prst="line">
          <a:avLst/>
        </a:prstGeom>
        <a:ln w="6350">
          <a:solidFill>
            <a:schemeClr val="bg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450277</xdr:colOff>
      <xdr:row>49</xdr:row>
      <xdr:rowOff>34638</xdr:rowOff>
    </xdr:from>
    <xdr:to>
      <xdr:col>20</xdr:col>
      <xdr:colOff>450277</xdr:colOff>
      <xdr:row>51</xdr:row>
      <xdr:rowOff>55419</xdr:rowOff>
    </xdr:to>
    <xdr:cxnSp macro="">
      <xdr:nvCxnSpPr>
        <xdr:cNvPr id="13" name="Straight Connector 12"/>
        <xdr:cNvCxnSpPr/>
      </xdr:nvCxnSpPr>
      <xdr:spPr>
        <a:xfrm>
          <a:off x="12739259" y="8943111"/>
          <a:ext cx="0" cy="380999"/>
        </a:xfrm>
        <a:prstGeom prst="line">
          <a:avLst/>
        </a:prstGeom>
        <a:ln w="6350">
          <a:solidFill>
            <a:schemeClr val="bg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290952</xdr:colOff>
      <xdr:row>49</xdr:row>
      <xdr:rowOff>34638</xdr:rowOff>
    </xdr:from>
    <xdr:to>
      <xdr:col>21</xdr:col>
      <xdr:colOff>290952</xdr:colOff>
      <xdr:row>51</xdr:row>
      <xdr:rowOff>55419</xdr:rowOff>
    </xdr:to>
    <xdr:cxnSp macro="">
      <xdr:nvCxnSpPr>
        <xdr:cNvPr id="14" name="Straight Connector 13"/>
        <xdr:cNvCxnSpPr/>
      </xdr:nvCxnSpPr>
      <xdr:spPr>
        <a:xfrm>
          <a:off x="13189534" y="8943111"/>
          <a:ext cx="0" cy="380999"/>
        </a:xfrm>
        <a:prstGeom prst="line">
          <a:avLst/>
        </a:prstGeom>
        <a:ln w="6350">
          <a:solidFill>
            <a:schemeClr val="bg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473433</xdr:colOff>
      <xdr:row>52</xdr:row>
      <xdr:rowOff>139312</xdr:rowOff>
    </xdr:from>
    <xdr:to>
      <xdr:col>23</xdr:col>
      <xdr:colOff>12921</xdr:colOff>
      <xdr:row>76</xdr:row>
      <xdr:rowOff>12590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544664</xdr:colOff>
      <xdr:row>53</xdr:row>
      <xdr:rowOff>49199</xdr:rowOff>
    </xdr:from>
    <xdr:to>
      <xdr:col>11</xdr:col>
      <xdr:colOff>216673</xdr:colOff>
      <xdr:row>67</xdr:row>
      <xdr:rowOff>117779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464820</xdr:colOff>
      <xdr:row>69</xdr:row>
      <xdr:rowOff>45720</xdr:rowOff>
    </xdr:from>
    <xdr:to>
      <xdr:col>11</xdr:col>
      <xdr:colOff>446268</xdr:colOff>
      <xdr:row>92</xdr:row>
      <xdr:rowOff>71398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320040</xdr:colOff>
      <xdr:row>30</xdr:row>
      <xdr:rowOff>163830</xdr:rowOff>
    </xdr:from>
    <xdr:to>
      <xdr:col>22</xdr:col>
      <xdr:colOff>548640</xdr:colOff>
      <xdr:row>49</xdr:row>
      <xdr:rowOff>22860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114300</xdr:colOff>
      <xdr:row>44</xdr:row>
      <xdr:rowOff>152400</xdr:rowOff>
    </xdr:from>
    <xdr:to>
      <xdr:col>15</xdr:col>
      <xdr:colOff>114300</xdr:colOff>
      <xdr:row>46</xdr:row>
      <xdr:rowOff>167640</xdr:rowOff>
    </xdr:to>
    <xdr:cxnSp macro="">
      <xdr:nvCxnSpPr>
        <xdr:cNvPr id="10" name="Straight Connector 9"/>
        <xdr:cNvCxnSpPr/>
      </xdr:nvCxnSpPr>
      <xdr:spPr>
        <a:xfrm>
          <a:off x="9425940" y="8435340"/>
          <a:ext cx="0" cy="381000"/>
        </a:xfrm>
        <a:prstGeom prst="line">
          <a:avLst/>
        </a:prstGeom>
        <a:ln w="6350">
          <a:solidFill>
            <a:schemeClr val="bg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548640</xdr:colOff>
      <xdr:row>44</xdr:row>
      <xdr:rowOff>152400</xdr:rowOff>
    </xdr:from>
    <xdr:to>
      <xdr:col>15</xdr:col>
      <xdr:colOff>548640</xdr:colOff>
      <xdr:row>46</xdr:row>
      <xdr:rowOff>167640</xdr:rowOff>
    </xdr:to>
    <xdr:cxnSp macro="">
      <xdr:nvCxnSpPr>
        <xdr:cNvPr id="12" name="Straight Connector 11"/>
        <xdr:cNvCxnSpPr/>
      </xdr:nvCxnSpPr>
      <xdr:spPr>
        <a:xfrm>
          <a:off x="9860280" y="8496300"/>
          <a:ext cx="0" cy="381000"/>
        </a:xfrm>
        <a:prstGeom prst="line">
          <a:avLst/>
        </a:prstGeom>
        <a:ln w="6350">
          <a:solidFill>
            <a:schemeClr val="bg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358140</xdr:colOff>
      <xdr:row>44</xdr:row>
      <xdr:rowOff>152400</xdr:rowOff>
    </xdr:from>
    <xdr:to>
      <xdr:col>16</xdr:col>
      <xdr:colOff>358140</xdr:colOff>
      <xdr:row>46</xdr:row>
      <xdr:rowOff>167640</xdr:rowOff>
    </xdr:to>
    <xdr:cxnSp macro="">
      <xdr:nvCxnSpPr>
        <xdr:cNvPr id="13" name="Straight Connector 12"/>
        <xdr:cNvCxnSpPr/>
      </xdr:nvCxnSpPr>
      <xdr:spPr>
        <a:xfrm>
          <a:off x="10279380" y="8496300"/>
          <a:ext cx="0" cy="381000"/>
        </a:xfrm>
        <a:prstGeom prst="line">
          <a:avLst/>
        </a:prstGeom>
        <a:ln w="6350">
          <a:solidFill>
            <a:schemeClr val="bg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198120</xdr:colOff>
      <xdr:row>44</xdr:row>
      <xdr:rowOff>152400</xdr:rowOff>
    </xdr:from>
    <xdr:to>
      <xdr:col>17</xdr:col>
      <xdr:colOff>198120</xdr:colOff>
      <xdr:row>46</xdr:row>
      <xdr:rowOff>167640</xdr:rowOff>
    </xdr:to>
    <xdr:cxnSp macro="">
      <xdr:nvCxnSpPr>
        <xdr:cNvPr id="14" name="Straight Connector 13"/>
        <xdr:cNvCxnSpPr/>
      </xdr:nvCxnSpPr>
      <xdr:spPr>
        <a:xfrm>
          <a:off x="10728960" y="8496300"/>
          <a:ext cx="0" cy="381000"/>
        </a:xfrm>
        <a:prstGeom prst="line">
          <a:avLst/>
        </a:prstGeom>
        <a:ln w="6350">
          <a:solidFill>
            <a:schemeClr val="bg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7620</xdr:colOff>
      <xdr:row>44</xdr:row>
      <xdr:rowOff>152400</xdr:rowOff>
    </xdr:from>
    <xdr:to>
      <xdr:col>18</xdr:col>
      <xdr:colOff>7620</xdr:colOff>
      <xdr:row>46</xdr:row>
      <xdr:rowOff>167640</xdr:rowOff>
    </xdr:to>
    <xdr:cxnSp macro="">
      <xdr:nvCxnSpPr>
        <xdr:cNvPr id="15" name="Straight Connector 14"/>
        <xdr:cNvCxnSpPr/>
      </xdr:nvCxnSpPr>
      <xdr:spPr>
        <a:xfrm>
          <a:off x="11148060" y="8496300"/>
          <a:ext cx="0" cy="381000"/>
        </a:xfrm>
        <a:prstGeom prst="line">
          <a:avLst/>
        </a:prstGeom>
        <a:ln w="6350">
          <a:solidFill>
            <a:schemeClr val="bg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502920</xdr:colOff>
      <xdr:row>44</xdr:row>
      <xdr:rowOff>152400</xdr:rowOff>
    </xdr:from>
    <xdr:to>
      <xdr:col>20</xdr:col>
      <xdr:colOff>502920</xdr:colOff>
      <xdr:row>46</xdr:row>
      <xdr:rowOff>167640</xdr:rowOff>
    </xdr:to>
    <xdr:cxnSp macro="">
      <xdr:nvCxnSpPr>
        <xdr:cNvPr id="16" name="Straight Connector 15"/>
        <xdr:cNvCxnSpPr/>
      </xdr:nvCxnSpPr>
      <xdr:spPr>
        <a:xfrm>
          <a:off x="12862560" y="8496300"/>
          <a:ext cx="0" cy="381000"/>
        </a:xfrm>
        <a:prstGeom prst="line">
          <a:avLst/>
        </a:prstGeom>
        <a:ln w="6350">
          <a:solidFill>
            <a:schemeClr val="bg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434340</xdr:colOff>
      <xdr:row>44</xdr:row>
      <xdr:rowOff>160020</xdr:rowOff>
    </xdr:from>
    <xdr:to>
      <xdr:col>18</xdr:col>
      <xdr:colOff>434340</xdr:colOff>
      <xdr:row>46</xdr:row>
      <xdr:rowOff>175260</xdr:rowOff>
    </xdr:to>
    <xdr:cxnSp macro="">
      <xdr:nvCxnSpPr>
        <xdr:cNvPr id="17" name="Straight Connector 16"/>
        <xdr:cNvCxnSpPr/>
      </xdr:nvCxnSpPr>
      <xdr:spPr>
        <a:xfrm>
          <a:off x="11574780" y="8503920"/>
          <a:ext cx="0" cy="381000"/>
        </a:xfrm>
        <a:prstGeom prst="line">
          <a:avLst/>
        </a:prstGeom>
        <a:ln w="6350">
          <a:solidFill>
            <a:schemeClr val="bg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251460</xdr:colOff>
      <xdr:row>44</xdr:row>
      <xdr:rowOff>152400</xdr:rowOff>
    </xdr:from>
    <xdr:to>
      <xdr:col>19</xdr:col>
      <xdr:colOff>251460</xdr:colOff>
      <xdr:row>46</xdr:row>
      <xdr:rowOff>167640</xdr:rowOff>
    </xdr:to>
    <xdr:cxnSp macro="">
      <xdr:nvCxnSpPr>
        <xdr:cNvPr id="18" name="Straight Connector 17"/>
        <xdr:cNvCxnSpPr/>
      </xdr:nvCxnSpPr>
      <xdr:spPr>
        <a:xfrm>
          <a:off x="12001500" y="8496300"/>
          <a:ext cx="0" cy="381000"/>
        </a:xfrm>
        <a:prstGeom prst="line">
          <a:avLst/>
        </a:prstGeom>
        <a:ln w="6350">
          <a:solidFill>
            <a:schemeClr val="bg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76200</xdr:colOff>
      <xdr:row>44</xdr:row>
      <xdr:rowOff>152400</xdr:rowOff>
    </xdr:from>
    <xdr:to>
      <xdr:col>20</xdr:col>
      <xdr:colOff>76200</xdr:colOff>
      <xdr:row>46</xdr:row>
      <xdr:rowOff>167640</xdr:rowOff>
    </xdr:to>
    <xdr:cxnSp macro="">
      <xdr:nvCxnSpPr>
        <xdr:cNvPr id="19" name="Straight Connector 18"/>
        <xdr:cNvCxnSpPr/>
      </xdr:nvCxnSpPr>
      <xdr:spPr>
        <a:xfrm>
          <a:off x="12435840" y="8496300"/>
          <a:ext cx="0" cy="381000"/>
        </a:xfrm>
        <a:prstGeom prst="line">
          <a:avLst/>
        </a:prstGeom>
        <a:ln w="6350">
          <a:solidFill>
            <a:schemeClr val="bg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1</cdr:x>
      <cdr:y>0.88675</cdr:y>
    </cdr:from>
    <cdr:to>
      <cdr:x>1</cdr:x>
      <cdr:y>1</cdr:y>
    </cdr:to>
    <cdr:cxnSp macro="">
      <cdr:nvCxnSpPr>
        <cdr:cNvPr id="2" name="Straight Connector 1"/>
        <cdr:cNvCxnSpPr/>
      </cdr:nvCxnSpPr>
      <cdr:spPr>
        <a:xfrm xmlns:a="http://schemas.openxmlformats.org/drawingml/2006/main">
          <a:off x="9476740" y="8486140"/>
          <a:ext cx="0" cy="381000"/>
        </a:xfrm>
        <a:prstGeom xmlns:a="http://schemas.openxmlformats.org/drawingml/2006/main" prst="line">
          <a:avLst/>
        </a:prstGeom>
        <a:ln xmlns:a="http://schemas.openxmlformats.org/drawingml/2006/main" w="6350">
          <a:solidFill>
            <a:schemeClr val="bg1">
              <a:lumMod val="75000"/>
            </a:schemeClr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171449</xdr:colOff>
      <xdr:row>33</xdr:row>
      <xdr:rowOff>61912</xdr:rowOff>
    </xdr:from>
    <xdr:to>
      <xdr:col>25</xdr:col>
      <xdr:colOff>523874</xdr:colOff>
      <xdr:row>58</xdr:row>
      <xdr:rowOff>85724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158750</xdr:colOff>
      <xdr:row>8</xdr:row>
      <xdr:rowOff>105833</xdr:rowOff>
    </xdr:from>
    <xdr:to>
      <xdr:col>23</xdr:col>
      <xdr:colOff>592666</xdr:colOff>
      <xdr:row>30</xdr:row>
      <xdr:rowOff>116416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42333</xdr:colOff>
      <xdr:row>26</xdr:row>
      <xdr:rowOff>21167</xdr:rowOff>
    </xdr:from>
    <xdr:to>
      <xdr:col>12</xdr:col>
      <xdr:colOff>476250</xdr:colOff>
      <xdr:row>48</xdr:row>
      <xdr:rowOff>31750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1"/>
  <sheetViews>
    <sheetView tabSelected="1" zoomScale="70" zoomScaleNormal="70" workbookViewId="0">
      <selection activeCell="Z25" sqref="Z25"/>
    </sheetView>
  </sheetViews>
  <sheetFormatPr defaultRowHeight="15" x14ac:dyDescent="0.25"/>
  <cols>
    <col min="2" max="2" width="10.28515625" bestFit="1" customWidth="1"/>
  </cols>
  <sheetData>
    <row r="1" spans="1:13" ht="14.45" x14ac:dyDescent="0.3">
      <c r="A1" s="1" t="s">
        <v>3</v>
      </c>
      <c r="B1">
        <v>0.10299999999999999</v>
      </c>
      <c r="C1">
        <v>0.45237499999999997</v>
      </c>
      <c r="D1">
        <v>3.3539999999999996</v>
      </c>
      <c r="E1">
        <v>3.2159999999999997</v>
      </c>
      <c r="F1">
        <v>3.3029999999999999</v>
      </c>
      <c r="G1">
        <v>3.2159999999999997</v>
      </c>
      <c r="H1">
        <v>3.1429999999999998</v>
      </c>
      <c r="I1">
        <v>3.4119999999999999</v>
      </c>
      <c r="J1">
        <v>3.1779999999999999</v>
      </c>
      <c r="K1">
        <v>2.472</v>
      </c>
      <c r="L1">
        <v>1.6919999999999999</v>
      </c>
      <c r="M1">
        <v>1.117</v>
      </c>
    </row>
    <row r="2" spans="1:13" s="2" customFormat="1" ht="14.45" x14ac:dyDescent="0.3">
      <c r="C2" s="2">
        <v>0.34937499999999999</v>
      </c>
      <c r="D2" s="2">
        <v>3.01</v>
      </c>
      <c r="E2" s="2">
        <v>3.1509999999999998</v>
      </c>
      <c r="F2" s="2">
        <v>3.0609999999999999</v>
      </c>
      <c r="G2" s="2">
        <v>2.9859999999999998</v>
      </c>
      <c r="H2" s="2">
        <v>2.9859999999999998</v>
      </c>
      <c r="I2" s="2">
        <v>3.0339999999999998</v>
      </c>
      <c r="J2" s="2">
        <v>2.8849999999999998</v>
      </c>
      <c r="K2" s="2">
        <v>2.4319999999999999</v>
      </c>
      <c r="L2" s="2">
        <v>1.5980000000000001</v>
      </c>
      <c r="M2" s="2">
        <v>0.97100000000000009</v>
      </c>
    </row>
    <row r="3" spans="1:13" ht="14.45" x14ac:dyDescent="0.3">
      <c r="B3" s="1"/>
      <c r="C3" s="1"/>
      <c r="D3" s="1">
        <v>2.9859999999999998</v>
      </c>
      <c r="E3" s="1">
        <v>3.194</v>
      </c>
      <c r="F3" s="1">
        <v>2.9659999999999997</v>
      </c>
      <c r="G3" s="1">
        <v>3.0289999999999999</v>
      </c>
      <c r="H3" s="1">
        <v>3.3079999999999998</v>
      </c>
      <c r="I3" s="1">
        <v>3.0069999999999997</v>
      </c>
      <c r="J3" s="1">
        <v>3.0069999999999997</v>
      </c>
      <c r="K3" s="1">
        <v>2.5679999999999996</v>
      </c>
      <c r="L3" s="1">
        <v>1.9330000000000001</v>
      </c>
      <c r="M3" s="1">
        <v>1.286</v>
      </c>
    </row>
    <row r="4" spans="1:13" ht="14.45" x14ac:dyDescent="0.3">
      <c r="A4" s="1"/>
      <c r="B4" s="1"/>
      <c r="C4" s="1"/>
      <c r="D4" s="1">
        <v>2.9729999999999999</v>
      </c>
      <c r="E4" s="1">
        <v>3.016</v>
      </c>
      <c r="F4" s="1">
        <v>3.016</v>
      </c>
      <c r="G4" s="1">
        <v>3.0649999999999999</v>
      </c>
      <c r="H4" s="1">
        <v>3.0909999999999997</v>
      </c>
      <c r="I4" s="1">
        <v>3.0399999999999996</v>
      </c>
      <c r="J4" s="1">
        <v>2.9939999999999998</v>
      </c>
      <c r="K4" s="1">
        <v>2.2819999999999996</v>
      </c>
      <c r="L4" s="1">
        <v>1.4590000000000001</v>
      </c>
      <c r="M4" s="1">
        <v>0.93500000000000005</v>
      </c>
    </row>
    <row r="5" spans="1:13" ht="14.45" x14ac:dyDescent="0.3">
      <c r="A5" s="1" t="s">
        <v>1</v>
      </c>
      <c r="B5" s="1"/>
      <c r="C5" s="1"/>
      <c r="D5" s="1">
        <v>3.0807499999999992</v>
      </c>
      <c r="E5" s="1">
        <v>3.14425</v>
      </c>
      <c r="F5" s="1">
        <v>3.0865</v>
      </c>
      <c r="G5" s="1">
        <v>3.0739999999999998</v>
      </c>
      <c r="H5" s="1">
        <v>3.1319999999999997</v>
      </c>
      <c r="I5" s="1">
        <v>3.1232499999999996</v>
      </c>
      <c r="J5" s="1">
        <v>3.016</v>
      </c>
      <c r="K5" s="1">
        <v>2.4384999999999999</v>
      </c>
      <c r="L5" s="1">
        <v>1.6705000000000001</v>
      </c>
      <c r="M5" s="1">
        <v>1.07725</v>
      </c>
    </row>
    <row r="6" spans="1:13" ht="14.45" x14ac:dyDescent="0.3">
      <c r="A6" s="1" t="s">
        <v>2</v>
      </c>
      <c r="B6" s="1"/>
      <c r="C6" s="1"/>
      <c r="D6" s="1">
        <v>0.18281023859000159</v>
      </c>
      <c r="E6" s="1">
        <v>8.9660005948397362E-2</v>
      </c>
      <c r="F6" s="1">
        <v>0.14945790934797221</v>
      </c>
      <c r="G6" s="1">
        <v>0.10002333061174608</v>
      </c>
      <c r="H6" s="1">
        <v>0.13428080031535908</v>
      </c>
      <c r="I6" s="1">
        <v>0.19303432337281379</v>
      </c>
      <c r="J6" s="1">
        <v>0.12106472098289693</v>
      </c>
      <c r="K6" s="1">
        <v>0.11892154276384639</v>
      </c>
      <c r="L6" s="1">
        <v>0.19946344694371035</v>
      </c>
      <c r="M6" s="1">
        <v>0.15987573299284707</v>
      </c>
    </row>
    <row r="7" spans="1:13" ht="14.45" x14ac:dyDescent="0.3">
      <c r="A7" s="1" t="s">
        <v>4</v>
      </c>
      <c r="B7" s="1"/>
      <c r="C7" s="1"/>
      <c r="D7" s="1">
        <v>3.7909999999999999</v>
      </c>
      <c r="E7" s="1">
        <v>3.9319999999999999</v>
      </c>
      <c r="F7" s="1">
        <v>3.9319999999999999</v>
      </c>
      <c r="G7" s="1">
        <v>3.6659999999999999</v>
      </c>
      <c r="H7" s="1">
        <v>3.6659999999999999</v>
      </c>
      <c r="I7" s="1">
        <v>3.6659999999999999</v>
      </c>
      <c r="J7" s="1">
        <v>3.7909999999999999</v>
      </c>
      <c r="K7" s="1">
        <v>3.1219999999999999</v>
      </c>
      <c r="L7" s="1">
        <v>3.3649999999999998</v>
      </c>
      <c r="M7" s="1">
        <v>2.8529999999999998</v>
      </c>
    </row>
    <row r="8" spans="1:13" ht="14.45" x14ac:dyDescent="0.3">
      <c r="A8" s="1"/>
      <c r="B8" s="1"/>
      <c r="C8" s="1"/>
      <c r="D8" s="1">
        <v>3.19</v>
      </c>
      <c r="E8" s="1">
        <v>3.0649999999999999</v>
      </c>
      <c r="F8" s="1">
        <v>3.093</v>
      </c>
      <c r="G8" s="1">
        <v>2.9469999999999996</v>
      </c>
      <c r="H8" s="1">
        <v>3.0139999999999998</v>
      </c>
      <c r="I8" s="1">
        <v>3.1559999999999997</v>
      </c>
      <c r="J8" s="1">
        <v>3.27</v>
      </c>
      <c r="K8" s="1">
        <v>3.0649999999999999</v>
      </c>
      <c r="L8" s="1">
        <v>3.1229999999999998</v>
      </c>
      <c r="M8" s="1">
        <v>2.968</v>
      </c>
    </row>
    <row r="9" spans="1:13" ht="14.45" x14ac:dyDescent="0.3">
      <c r="A9" s="1"/>
      <c r="B9" s="1"/>
      <c r="C9" s="1"/>
      <c r="D9" s="1">
        <v>3.109</v>
      </c>
      <c r="E9" s="1">
        <v>3.081</v>
      </c>
      <c r="F9" s="1">
        <v>3.0059999999999998</v>
      </c>
      <c r="G9" s="1">
        <v>2.984</v>
      </c>
      <c r="H9" s="1">
        <v>2.984</v>
      </c>
      <c r="I9" s="1">
        <v>3.3819999999999997</v>
      </c>
      <c r="J9" s="1">
        <v>2.9229999999999996</v>
      </c>
      <c r="K9" s="1">
        <v>3.1389999999999998</v>
      </c>
      <c r="L9" s="1">
        <v>3.1389999999999998</v>
      </c>
      <c r="M9" s="1">
        <v>3.03</v>
      </c>
    </row>
    <row r="10" spans="1:13" ht="14.45" x14ac:dyDescent="0.3">
      <c r="A10" s="1"/>
      <c r="B10" s="1"/>
      <c r="C10" s="1"/>
      <c r="D10" s="1">
        <v>3.4589999999999996</v>
      </c>
      <c r="E10" s="1">
        <v>3.19</v>
      </c>
      <c r="F10" s="1">
        <v>3.5259999999999998</v>
      </c>
      <c r="G10" s="1">
        <v>3.19</v>
      </c>
      <c r="H10" s="1">
        <v>3.3499999999999996</v>
      </c>
      <c r="I10" s="1">
        <v>3.3499999999999996</v>
      </c>
      <c r="J10" s="1">
        <v>3.2629999999999999</v>
      </c>
      <c r="K10" s="1">
        <v>3.1579999999999999</v>
      </c>
      <c r="L10" s="1">
        <v>3.0739999999999998</v>
      </c>
      <c r="M10" s="1">
        <v>2.8569999999999998</v>
      </c>
    </row>
    <row r="11" spans="1:13" ht="14.45" x14ac:dyDescent="0.3">
      <c r="A11" s="1" t="s">
        <v>1</v>
      </c>
      <c r="B11" s="1"/>
      <c r="C11" s="1"/>
      <c r="D11" s="1">
        <v>3.3872499999999999</v>
      </c>
      <c r="E11" s="1">
        <v>3.3169999999999997</v>
      </c>
      <c r="F11" s="1">
        <v>3.3892500000000001</v>
      </c>
      <c r="G11" s="1">
        <v>3.1967499999999998</v>
      </c>
      <c r="H11" s="1">
        <v>3.2534999999999998</v>
      </c>
      <c r="I11" s="1">
        <v>3.3884999999999996</v>
      </c>
      <c r="J11" s="1">
        <v>3.31175</v>
      </c>
      <c r="K11" s="1">
        <v>3.1209999999999996</v>
      </c>
      <c r="L11" s="1">
        <v>3.1752499999999997</v>
      </c>
      <c r="M11" s="1">
        <v>2.9269999999999996</v>
      </c>
    </row>
    <row r="12" spans="1:13" ht="14.45" x14ac:dyDescent="0.3">
      <c r="A12" t="s">
        <v>2</v>
      </c>
      <c r="D12">
        <v>0.30794628860674167</v>
      </c>
      <c r="E12">
        <v>0.41374468778060314</v>
      </c>
      <c r="F12">
        <v>0.42736508592381334</v>
      </c>
      <c r="G12">
        <v>0.33059479225581684</v>
      </c>
      <c r="H12">
        <v>0.32117440744866332</v>
      </c>
      <c r="I12">
        <v>0.21022765438130805</v>
      </c>
      <c r="J12">
        <v>0.35820234039808668</v>
      </c>
      <c r="K12">
        <v>4.0124805295477725E-2</v>
      </c>
      <c r="L12">
        <v>0.12948712934754039</v>
      </c>
      <c r="M12">
        <v>8.6921420451654741E-2</v>
      </c>
    </row>
    <row r="14" spans="1:13" ht="14.45" x14ac:dyDescent="0.3">
      <c r="A14">
        <v>28062017</v>
      </c>
    </row>
    <row r="15" spans="1:13" ht="14.45" x14ac:dyDescent="0.3">
      <c r="A15" t="s">
        <v>3</v>
      </c>
      <c r="B15">
        <v>0.11900000000000001</v>
      </c>
      <c r="C15">
        <v>1.05175</v>
      </c>
      <c r="D15">
        <v>3.0799999999999996</v>
      </c>
      <c r="E15">
        <v>3.2559999999999998</v>
      </c>
      <c r="F15">
        <v>3.0339999999999998</v>
      </c>
      <c r="G15">
        <v>3.0569999999999999</v>
      </c>
      <c r="H15">
        <v>3.1309999999999998</v>
      </c>
      <c r="I15">
        <v>3.2559999999999998</v>
      </c>
      <c r="J15">
        <v>3.0129999999999999</v>
      </c>
      <c r="K15">
        <v>2.4969999999999999</v>
      </c>
      <c r="L15">
        <v>1.675</v>
      </c>
      <c r="M15">
        <v>0.97300000000000009</v>
      </c>
    </row>
    <row r="16" spans="1:13" s="4" customFormat="1" ht="14.45" x14ac:dyDescent="0.3">
      <c r="C16" s="4">
        <v>0.93274999999999997</v>
      </c>
      <c r="D16" s="4">
        <v>2.8659999999999997</v>
      </c>
      <c r="E16" s="4">
        <v>2.8659999999999997</v>
      </c>
      <c r="F16" s="4">
        <v>2.9119999999999999</v>
      </c>
      <c r="G16" s="4">
        <v>3.0209999999999999</v>
      </c>
      <c r="H16" s="4">
        <v>2.9449999999999998</v>
      </c>
      <c r="I16" s="4">
        <v>2.8959999999999999</v>
      </c>
      <c r="J16" s="4">
        <v>2.9449999999999998</v>
      </c>
      <c r="K16" s="4">
        <v>2.48</v>
      </c>
      <c r="L16" s="4">
        <v>1.631</v>
      </c>
      <c r="M16" s="4">
        <v>1.0369999999999999</v>
      </c>
    </row>
    <row r="17" spans="1:14" s="4" customFormat="1" ht="14.45" x14ac:dyDescent="0.3">
      <c r="D17" s="4">
        <v>3.1079999999999997</v>
      </c>
      <c r="E17" s="4">
        <v>3.0859999999999999</v>
      </c>
      <c r="F17" s="4">
        <v>3.1309999999999998</v>
      </c>
      <c r="G17" s="4">
        <v>3.0859999999999999</v>
      </c>
      <c r="H17" s="4">
        <v>3.1559999999999997</v>
      </c>
      <c r="I17" s="4">
        <v>3.0639999999999996</v>
      </c>
      <c r="J17" s="4">
        <v>2.9089999999999998</v>
      </c>
      <c r="K17" s="4">
        <v>2.5799999999999996</v>
      </c>
      <c r="L17" s="4">
        <v>1.6890000000000001</v>
      </c>
      <c r="M17" s="4">
        <v>1.08</v>
      </c>
    </row>
    <row r="18" spans="1:14" ht="14.45" x14ac:dyDescent="0.3">
      <c r="A18" s="3"/>
      <c r="D18" s="5">
        <v>2.8409999999999997</v>
      </c>
      <c r="E18" s="5">
        <v>2.8679999999999999</v>
      </c>
      <c r="F18" s="5">
        <v>2.9579999999999997</v>
      </c>
      <c r="G18" s="5">
        <v>2.9409999999999998</v>
      </c>
      <c r="H18" s="5">
        <v>2.8809999999999998</v>
      </c>
      <c r="I18" s="5">
        <v>2.8169999999999997</v>
      </c>
      <c r="J18" s="5">
        <v>2.7929999999999997</v>
      </c>
      <c r="K18" s="5">
        <v>2.5739999999999998</v>
      </c>
      <c r="L18" s="5">
        <v>1.8760000000000001</v>
      </c>
      <c r="M18" s="5">
        <v>1.17</v>
      </c>
      <c r="N18" s="5"/>
    </row>
    <row r="19" spans="1:14" ht="14.45" x14ac:dyDescent="0.3">
      <c r="A19" t="s">
        <v>1</v>
      </c>
      <c r="D19">
        <v>2.9737499999999994</v>
      </c>
      <c r="E19">
        <v>3.0190000000000001</v>
      </c>
      <c r="F19">
        <v>3.00875</v>
      </c>
      <c r="G19">
        <v>3.0262500000000001</v>
      </c>
      <c r="H19">
        <v>3.0282499999999999</v>
      </c>
      <c r="I19">
        <v>3.0082499999999999</v>
      </c>
      <c r="J19">
        <v>2.915</v>
      </c>
      <c r="K19">
        <v>2.5327500000000001</v>
      </c>
      <c r="L19">
        <v>1.7177500000000001</v>
      </c>
      <c r="M19">
        <v>1.0649999999999999</v>
      </c>
    </row>
    <row r="20" spans="1:14" ht="14.45" x14ac:dyDescent="0.3">
      <c r="A20" t="s">
        <v>2</v>
      </c>
      <c r="D20">
        <v>0.13969580046181293</v>
      </c>
      <c r="E20">
        <v>0.18873967962955396</v>
      </c>
      <c r="F20">
        <v>9.5775344774459883E-2</v>
      </c>
      <c r="G20">
        <v>6.2744853706632145E-2</v>
      </c>
      <c r="H20">
        <v>0.13600337005628446</v>
      </c>
      <c r="I20">
        <v>0.19464904315202783</v>
      </c>
      <c r="J20">
        <v>9.2057952761652698E-2</v>
      </c>
      <c r="K20">
        <v>5.162283086645534E-2</v>
      </c>
      <c r="L20">
        <v>0.10835551055053304</v>
      </c>
      <c r="M20">
        <v>8.2659945963366427E-2</v>
      </c>
    </row>
    <row r="21" spans="1:14" ht="14.45" x14ac:dyDescent="0.3">
      <c r="A21" t="s">
        <v>4</v>
      </c>
      <c r="D21">
        <v>2.9309999999999996</v>
      </c>
      <c r="E21">
        <v>3.0669999999999997</v>
      </c>
      <c r="F21">
        <v>3.0669999999999997</v>
      </c>
      <c r="G21">
        <v>3.0239999999999996</v>
      </c>
      <c r="H21">
        <v>3.0449999999999999</v>
      </c>
      <c r="I21">
        <v>3.0909999999999997</v>
      </c>
      <c r="J21">
        <v>3.1419999999999999</v>
      </c>
      <c r="K21">
        <v>3.1159999999999997</v>
      </c>
      <c r="L21">
        <v>2.9149999999999996</v>
      </c>
      <c r="M21">
        <v>2.6739999999999999</v>
      </c>
    </row>
    <row r="22" spans="1:14" s="4" customFormat="1" ht="14.45" x14ac:dyDescent="0.3">
      <c r="D22" s="4">
        <v>2.8849999999999998</v>
      </c>
      <c r="E22" s="4">
        <v>3.3059999999999996</v>
      </c>
      <c r="F22" s="4">
        <v>3.0469999999999997</v>
      </c>
      <c r="G22" s="4">
        <v>3.0469999999999997</v>
      </c>
      <c r="H22" s="4">
        <v>3.069</v>
      </c>
      <c r="I22" s="4">
        <v>2.9499999999999997</v>
      </c>
      <c r="J22" s="4">
        <v>3.1719999999999997</v>
      </c>
      <c r="K22" s="4">
        <v>3.117</v>
      </c>
      <c r="L22" s="4">
        <v>3.1439999999999997</v>
      </c>
      <c r="M22" s="4">
        <v>2.843</v>
      </c>
    </row>
    <row r="23" spans="1:14" s="4" customFormat="1" ht="14.45" x14ac:dyDescent="0.3">
      <c r="D23" s="4">
        <v>2.9649999999999999</v>
      </c>
      <c r="E23" s="4">
        <v>2.9829999999999997</v>
      </c>
      <c r="F23" s="4">
        <v>2.8859999999999997</v>
      </c>
      <c r="G23" s="4">
        <v>2.8859999999999997</v>
      </c>
      <c r="H23" s="4">
        <v>2.9319999999999999</v>
      </c>
      <c r="I23" s="4">
        <v>2.9649999999999999</v>
      </c>
      <c r="J23" s="4">
        <v>2.948</v>
      </c>
      <c r="K23" s="4">
        <v>3.0409999999999999</v>
      </c>
      <c r="L23" s="4">
        <v>2.9319999999999999</v>
      </c>
      <c r="M23" s="4">
        <v>2.819</v>
      </c>
    </row>
    <row r="24" spans="1:14" ht="14.45" x14ac:dyDescent="0.3">
      <c r="D24">
        <v>2.8779999999999997</v>
      </c>
      <c r="E24">
        <v>2.9349999999999996</v>
      </c>
      <c r="F24">
        <v>2.8149999999999999</v>
      </c>
      <c r="G24">
        <v>3.1269999999999998</v>
      </c>
      <c r="H24">
        <v>3.0599999999999996</v>
      </c>
      <c r="I24">
        <v>2.968</v>
      </c>
      <c r="J24">
        <v>3.0819999999999999</v>
      </c>
      <c r="K24">
        <v>3.0819999999999999</v>
      </c>
      <c r="L24">
        <v>3.0399999999999996</v>
      </c>
      <c r="M24">
        <v>2.9849999999999999</v>
      </c>
    </row>
    <row r="25" spans="1:14" ht="14.45" x14ac:dyDescent="0.3">
      <c r="A25" t="s">
        <v>1</v>
      </c>
      <c r="D25">
        <v>2.9147499999999997</v>
      </c>
      <c r="E25">
        <v>3.0727499999999992</v>
      </c>
      <c r="F25">
        <v>2.9537499999999994</v>
      </c>
      <c r="G25">
        <v>3.0209999999999999</v>
      </c>
      <c r="H25">
        <v>3.0264999999999995</v>
      </c>
      <c r="I25">
        <v>2.9935</v>
      </c>
      <c r="J25">
        <v>3.0860000000000003</v>
      </c>
      <c r="K25">
        <v>3.0889999999999995</v>
      </c>
      <c r="L25">
        <v>3.0077499999999997</v>
      </c>
      <c r="M25">
        <v>2.8302499999999995</v>
      </c>
    </row>
    <row r="26" spans="1:14" ht="14.45" x14ac:dyDescent="0.3">
      <c r="A26" t="s">
        <v>2</v>
      </c>
      <c r="D26">
        <v>4.092574576799634E-2</v>
      </c>
      <c r="E26">
        <v>0.16479153497676996</v>
      </c>
      <c r="F26">
        <v>0.12296713653113441</v>
      </c>
      <c r="G26">
        <v>0.10024303799599589</v>
      </c>
      <c r="H26">
        <v>6.3773035054010038E-2</v>
      </c>
      <c r="I26">
        <v>6.547518613948336E-2</v>
      </c>
      <c r="J26">
        <v>9.9317672143481014E-2</v>
      </c>
      <c r="K26">
        <v>3.5898003658513707E-2</v>
      </c>
      <c r="L26">
        <v>0.10637159708618958</v>
      </c>
      <c r="M26">
        <v>0.12734565821678673</v>
      </c>
    </row>
    <row r="28" spans="1:14" ht="14.45" x14ac:dyDescent="0.3">
      <c r="A28" s="2" t="s">
        <v>5</v>
      </c>
      <c r="B28" s="2"/>
      <c r="C28" s="2" t="s">
        <v>0</v>
      </c>
      <c r="D28" s="7">
        <v>1000</v>
      </c>
      <c r="E28" s="7">
        <v>500</v>
      </c>
      <c r="F28" s="7">
        <v>250</v>
      </c>
      <c r="G28" s="7">
        <v>125</v>
      </c>
      <c r="H28" s="7">
        <v>63</v>
      </c>
      <c r="I28" s="7">
        <v>32</v>
      </c>
      <c r="J28" s="7">
        <f t="shared" ref="J28:M28" si="0">I28/2</f>
        <v>16</v>
      </c>
      <c r="K28" s="7">
        <f t="shared" si="0"/>
        <v>8</v>
      </c>
      <c r="L28" s="7">
        <f t="shared" si="0"/>
        <v>4</v>
      </c>
      <c r="M28" s="7">
        <f t="shared" si="0"/>
        <v>2</v>
      </c>
    </row>
    <row r="29" spans="1:14" ht="14.45" x14ac:dyDescent="0.3">
      <c r="A29" s="2" t="s">
        <v>1</v>
      </c>
      <c r="B29" s="2"/>
      <c r="C29" s="2">
        <f>AVERAGE(C2,C16)</f>
        <v>0.64106249999999998</v>
      </c>
      <c r="D29" s="2">
        <f t="shared" ref="D29:M29" si="1">AVERAGE(D1:D4,D15:D18)</f>
        <v>3.02725</v>
      </c>
      <c r="E29" s="2">
        <f t="shared" si="1"/>
        <v>3.0816249999999994</v>
      </c>
      <c r="F29" s="2">
        <f t="shared" si="1"/>
        <v>3.0476249999999996</v>
      </c>
      <c r="G29" s="2">
        <f t="shared" si="1"/>
        <v>3.0501249999999995</v>
      </c>
      <c r="H29" s="2">
        <f t="shared" si="1"/>
        <v>3.0801249999999998</v>
      </c>
      <c r="I29" s="2">
        <f t="shared" si="1"/>
        <v>3.06575</v>
      </c>
      <c r="J29" s="2">
        <f t="shared" si="1"/>
        <v>2.9654999999999996</v>
      </c>
      <c r="K29" s="2">
        <f t="shared" si="1"/>
        <v>2.4856249999999998</v>
      </c>
      <c r="L29" s="2">
        <f t="shared" si="1"/>
        <v>1.6941250000000001</v>
      </c>
      <c r="M29" s="2">
        <f t="shared" si="1"/>
        <v>1.0711249999999999</v>
      </c>
    </row>
    <row r="30" spans="1:14" ht="14.45" x14ac:dyDescent="0.3">
      <c r="A30" s="2" t="s">
        <v>2</v>
      </c>
      <c r="B30" s="2"/>
      <c r="C30" s="2"/>
      <c r="D30" s="2">
        <f t="shared" ref="D30:M30" si="2">STDEV(D1:D4,D15:D18)</f>
        <v>0.16111287081688144</v>
      </c>
      <c r="E30" s="2">
        <f t="shared" si="2"/>
        <v>0.1522966442740708</v>
      </c>
      <c r="F30" s="2">
        <f t="shared" si="2"/>
        <v>0.12341675910738963</v>
      </c>
      <c r="G30" s="2">
        <f t="shared" si="2"/>
        <v>8.1402768468189779E-2</v>
      </c>
      <c r="H30" s="2">
        <f t="shared" si="2"/>
        <v>0.13685909072577429</v>
      </c>
      <c r="I30" s="2">
        <f t="shared" si="2"/>
        <v>0.18969957451567621</v>
      </c>
      <c r="J30" s="2">
        <f t="shared" si="2"/>
        <v>0.1132607610781422</v>
      </c>
      <c r="K30" s="2">
        <f t="shared" si="2"/>
        <v>9.8697137749784836E-2</v>
      </c>
      <c r="L30" s="2">
        <f t="shared" si="2"/>
        <v>0.15073385959555149</v>
      </c>
      <c r="M30" s="2">
        <f t="shared" si="2"/>
        <v>0.11800658274617079</v>
      </c>
    </row>
    <row r="31" spans="1:14" ht="14.45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</row>
    <row r="32" spans="1:14" ht="14.45" x14ac:dyDescent="0.3">
      <c r="A32" s="2" t="s">
        <v>6</v>
      </c>
      <c r="B32" s="2"/>
      <c r="C32" s="2"/>
    </row>
    <row r="33" spans="1:13" ht="14.45" x14ac:dyDescent="0.3">
      <c r="A33" s="2" t="s">
        <v>1</v>
      </c>
      <c r="B33" s="2"/>
      <c r="C33" s="2"/>
      <c r="D33" s="2">
        <f t="shared" ref="D33:M33" si="3">AVERAGE(D7:D10,D21:D24)</f>
        <v>3.1510000000000002</v>
      </c>
      <c r="E33" s="2">
        <f t="shared" si="3"/>
        <v>3.1948749999999997</v>
      </c>
      <c r="F33" s="2">
        <f t="shared" si="3"/>
        <v>3.1715</v>
      </c>
      <c r="G33" s="2">
        <f t="shared" si="3"/>
        <v>3.1088749999999994</v>
      </c>
      <c r="H33" s="2">
        <f t="shared" si="3"/>
        <v>3.1399999999999992</v>
      </c>
      <c r="I33" s="2">
        <f t="shared" si="3"/>
        <v>3.1909999999999998</v>
      </c>
      <c r="J33" s="2">
        <f t="shared" si="3"/>
        <v>3.1988750000000001</v>
      </c>
      <c r="K33" s="2">
        <f t="shared" si="3"/>
        <v>3.105</v>
      </c>
      <c r="L33" s="2">
        <f t="shared" si="3"/>
        <v>3.0914999999999995</v>
      </c>
      <c r="M33" s="2">
        <f t="shared" si="3"/>
        <v>2.8786249999999995</v>
      </c>
    </row>
    <row r="34" spans="1:13" ht="14.45" x14ac:dyDescent="0.3">
      <c r="A34" s="2" t="s">
        <v>2</v>
      </c>
      <c r="B34" s="2"/>
      <c r="C34" s="2"/>
      <c r="D34" s="2">
        <f t="shared" ref="D34:M34" si="4">STDEV(D7:D10,D21:D24)</f>
        <v>0.3242640017904283</v>
      </c>
      <c r="E34" s="2">
        <f t="shared" si="4"/>
        <v>0.31945016937589149</v>
      </c>
      <c r="F34" s="2">
        <f t="shared" si="4"/>
        <v>0.37275154498099156</v>
      </c>
      <c r="G34" s="2">
        <f t="shared" si="4"/>
        <v>0.24489090136513569</v>
      </c>
      <c r="H34" s="2">
        <f t="shared" si="4"/>
        <v>0.24632092887125931</v>
      </c>
      <c r="I34" s="2">
        <f t="shared" si="4"/>
        <v>0.25564987217453705</v>
      </c>
      <c r="J34" s="2">
        <f t="shared" si="4"/>
        <v>0.27162076372345745</v>
      </c>
      <c r="K34" s="2">
        <f t="shared" si="4"/>
        <v>3.9177252875324746E-2</v>
      </c>
      <c r="L34" s="2">
        <f t="shared" si="4"/>
        <v>0.14160205809642337</v>
      </c>
      <c r="M34" s="2">
        <f t="shared" si="4"/>
        <v>0.1134131984004885</v>
      </c>
    </row>
    <row r="36" spans="1:13" ht="14.45" x14ac:dyDescent="0.3">
      <c r="A36" s="2" t="s">
        <v>12</v>
      </c>
    </row>
    <row r="38" spans="1:13" ht="18" x14ac:dyDescent="0.35">
      <c r="A38" s="6" t="s">
        <v>14</v>
      </c>
      <c r="B38" t="s">
        <v>13</v>
      </c>
      <c r="C38">
        <v>3.02725</v>
      </c>
      <c r="D38">
        <v>3.0816249999999994</v>
      </c>
      <c r="E38">
        <v>3.0476249999999996</v>
      </c>
      <c r="F38">
        <v>3.0501249999999995</v>
      </c>
      <c r="G38">
        <v>3.0801249999999998</v>
      </c>
      <c r="H38">
        <v>3.06575</v>
      </c>
      <c r="I38">
        <v>2.9654999999999996</v>
      </c>
      <c r="J38">
        <v>2.4856249999999998</v>
      </c>
      <c r="K38">
        <v>1.6941250000000001</v>
      </c>
      <c r="L38">
        <v>1.0711249999999999</v>
      </c>
    </row>
    <row r="39" spans="1:13" x14ac:dyDescent="0.25">
      <c r="A39" s="6"/>
    </row>
    <row r="40" spans="1:13" ht="18" x14ac:dyDescent="0.35">
      <c r="A40" s="6" t="s">
        <v>15</v>
      </c>
      <c r="B40" t="s">
        <v>13</v>
      </c>
      <c r="C40">
        <v>3.1510000000000002</v>
      </c>
      <c r="D40">
        <v>3.1948749999999997</v>
      </c>
      <c r="E40">
        <v>3.1715</v>
      </c>
      <c r="F40">
        <v>3.1088749999999994</v>
      </c>
      <c r="G40">
        <v>3.1399999999999992</v>
      </c>
      <c r="H40">
        <v>3.1909999999999998</v>
      </c>
      <c r="I40">
        <v>3.1988750000000001</v>
      </c>
      <c r="J40">
        <v>3.105</v>
      </c>
      <c r="K40">
        <v>3.0914999999999995</v>
      </c>
      <c r="L40">
        <v>2.8786249999999995</v>
      </c>
    </row>
    <row r="41" spans="1:13" x14ac:dyDescent="0.25">
      <c r="A41" s="6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2"/>
  <sheetViews>
    <sheetView zoomScale="85" zoomScaleNormal="85" workbookViewId="0">
      <selection activeCell="X24" sqref="X24"/>
    </sheetView>
  </sheetViews>
  <sheetFormatPr defaultRowHeight="15" x14ac:dyDescent="0.25"/>
  <cols>
    <col min="2" max="2" width="11.28515625" bestFit="1" customWidth="1"/>
  </cols>
  <sheetData>
    <row r="1" spans="1:13" ht="14.45" x14ac:dyDescent="0.3">
      <c r="A1">
        <v>0.11087499999999999</v>
      </c>
      <c r="B1">
        <v>0.15049999999999999</v>
      </c>
      <c r="C1">
        <v>3.2301250000000001</v>
      </c>
      <c r="D1">
        <v>3.0211250000000001</v>
      </c>
      <c r="E1">
        <v>3.0651250000000001</v>
      </c>
      <c r="F1">
        <v>2.9631249999999998</v>
      </c>
      <c r="G1">
        <v>2.7991250000000001</v>
      </c>
      <c r="H1">
        <v>2.3751250000000002</v>
      </c>
      <c r="I1">
        <v>1.4201249999999999</v>
      </c>
      <c r="J1">
        <v>0.8101250000000001</v>
      </c>
      <c r="K1">
        <v>0.46312499999999995</v>
      </c>
      <c r="L1">
        <v>0.27612500000000001</v>
      </c>
    </row>
    <row r="2" spans="1:13" s="4" customFormat="1" ht="14.45" x14ac:dyDescent="0.3">
      <c r="B2" s="4">
        <v>3.9625000000000007E-2</v>
      </c>
      <c r="C2" s="4">
        <v>2.8461249999999998</v>
      </c>
      <c r="D2" s="4">
        <v>3.147125</v>
      </c>
      <c r="E2" s="4">
        <v>2.8331249999999999</v>
      </c>
      <c r="F2" s="4">
        <v>2.8461249999999998</v>
      </c>
      <c r="G2" s="4">
        <v>2.7281249999999999</v>
      </c>
      <c r="H2" s="4">
        <v>2.4761250000000001</v>
      </c>
      <c r="I2" s="4">
        <v>1.592125</v>
      </c>
      <c r="J2" s="4">
        <v>0.952125</v>
      </c>
      <c r="K2" s="4">
        <v>0.5711250000000001</v>
      </c>
      <c r="L2" s="4">
        <v>0.31112499999999998</v>
      </c>
    </row>
    <row r="3" spans="1:13" ht="14.45" x14ac:dyDescent="0.3">
      <c r="A3" s="1"/>
      <c r="B3" s="1"/>
      <c r="C3" s="1">
        <v>3.0721249999999998</v>
      </c>
      <c r="D3" s="1">
        <v>3.0141249999999999</v>
      </c>
      <c r="E3" s="1">
        <v>3.0141249999999999</v>
      </c>
      <c r="F3" s="1">
        <v>2.9801250000000001</v>
      </c>
      <c r="G3" s="1">
        <v>2.7221250000000001</v>
      </c>
      <c r="H3" s="1">
        <v>2.312125</v>
      </c>
      <c r="I3" s="1">
        <v>1.399125</v>
      </c>
      <c r="J3" s="1">
        <v>0.78212500000000007</v>
      </c>
      <c r="K3" s="1">
        <v>0.46412499999999995</v>
      </c>
      <c r="L3" s="1">
        <v>0.28712500000000002</v>
      </c>
      <c r="M3" s="1"/>
    </row>
    <row r="4" spans="1:13" ht="14.45" x14ac:dyDescent="0.3">
      <c r="A4" s="1"/>
      <c r="B4" s="1"/>
      <c r="C4" s="1">
        <v>2.8621249999999998</v>
      </c>
      <c r="D4" s="1">
        <v>2.949125</v>
      </c>
      <c r="E4" s="1">
        <v>2.8891249999999999</v>
      </c>
      <c r="F4" s="1">
        <v>2.876125</v>
      </c>
      <c r="G4" s="1">
        <v>2.8371249999999999</v>
      </c>
      <c r="H4" s="1">
        <v>2.336125</v>
      </c>
      <c r="I4" s="1">
        <v>1.433125</v>
      </c>
      <c r="J4" s="1">
        <v>0.86612500000000003</v>
      </c>
      <c r="K4" s="1">
        <v>0.5621250000000001</v>
      </c>
      <c r="L4" s="1">
        <v>0.31512499999999999</v>
      </c>
      <c r="M4" s="1"/>
    </row>
    <row r="5" spans="1:13" ht="14.45" x14ac:dyDescent="0.3">
      <c r="A5" s="1"/>
      <c r="B5" s="1"/>
      <c r="C5" s="1">
        <v>3.0026250000000001</v>
      </c>
      <c r="D5" s="1">
        <v>3.0328750000000002</v>
      </c>
      <c r="E5" s="1">
        <v>2.9503750000000002</v>
      </c>
      <c r="F5" s="1">
        <v>2.9163749999999999</v>
      </c>
      <c r="G5" s="1">
        <v>2.7716250000000002</v>
      </c>
      <c r="H5" s="1">
        <v>2.3748750000000003</v>
      </c>
      <c r="I5" s="1">
        <v>1.461125</v>
      </c>
      <c r="J5" s="1">
        <v>0.85262499999999997</v>
      </c>
      <c r="K5" s="1">
        <v>0.51512500000000006</v>
      </c>
      <c r="L5" s="1">
        <v>0.29737500000000006</v>
      </c>
      <c r="M5" s="1"/>
    </row>
    <row r="6" spans="1:13" ht="14.45" x14ac:dyDescent="0.3">
      <c r="A6" s="1"/>
      <c r="B6" s="1"/>
      <c r="C6" s="1">
        <v>0.18332030256720991</v>
      </c>
      <c r="D6" s="1">
        <v>8.2778318417324692E-2</v>
      </c>
      <c r="E6" s="1">
        <v>0.10759608109344262</v>
      </c>
      <c r="F6" s="1">
        <v>6.5331845221147752E-2</v>
      </c>
      <c r="G6" s="1">
        <v>5.5943423801789807E-2</v>
      </c>
      <c r="H6" s="1">
        <v>7.232046736574653E-2</v>
      </c>
      <c r="I6" s="1">
        <v>8.8449609006107766E-2</v>
      </c>
      <c r="J6" s="1">
        <v>7.4964436012463012E-2</v>
      </c>
      <c r="K6" s="1">
        <v>5.9581876439065012E-2</v>
      </c>
      <c r="L6" s="1">
        <v>1.8803811670332501E-2</v>
      </c>
      <c r="M6" s="1"/>
    </row>
    <row r="7" spans="1:13" ht="14.45" x14ac:dyDescent="0.3">
      <c r="A7" s="1"/>
      <c r="B7" s="1"/>
      <c r="C7" s="1">
        <v>3.1501250000000001</v>
      </c>
      <c r="D7" s="1">
        <v>3.2411249999999998</v>
      </c>
      <c r="E7" s="1">
        <v>3.3541249999999998</v>
      </c>
      <c r="F7" s="1">
        <v>3.2081249999999999</v>
      </c>
      <c r="G7" s="1">
        <v>3.4511249999999998</v>
      </c>
      <c r="H7" s="1">
        <v>2.9231249999999998</v>
      </c>
      <c r="I7" s="1">
        <v>2.711125</v>
      </c>
      <c r="J7" s="1">
        <v>1.9821249999999999</v>
      </c>
      <c r="K7" s="1">
        <v>1.3231249999999999</v>
      </c>
      <c r="L7" s="1">
        <v>0.80712500000000009</v>
      </c>
      <c r="M7" s="1"/>
    </row>
    <row r="8" spans="1:13" ht="14.45" x14ac:dyDescent="0.3">
      <c r="A8" s="1"/>
      <c r="B8" s="1"/>
      <c r="C8" s="1">
        <v>3.1801249999999999</v>
      </c>
      <c r="D8" s="1">
        <v>2.9751249999999998</v>
      </c>
      <c r="E8" s="1">
        <v>3.356125</v>
      </c>
      <c r="F8" s="1">
        <v>3.0551249999999999</v>
      </c>
      <c r="G8" s="1">
        <v>2.9081250000000001</v>
      </c>
      <c r="H8" s="1">
        <v>3.0551249999999999</v>
      </c>
      <c r="I8" s="1">
        <v>2.743125</v>
      </c>
      <c r="J8" s="1">
        <v>2.046125</v>
      </c>
      <c r="K8" s="1">
        <v>1.328125</v>
      </c>
      <c r="L8" s="1">
        <v>0.79512500000000008</v>
      </c>
      <c r="M8" s="1"/>
    </row>
    <row r="9" spans="1:13" ht="14.45" x14ac:dyDescent="0.3">
      <c r="A9" s="1"/>
      <c r="B9" s="1"/>
      <c r="C9" s="1">
        <v>3.0291250000000001</v>
      </c>
      <c r="D9" s="1">
        <v>3.0711249999999999</v>
      </c>
      <c r="E9" s="1">
        <v>3.0101249999999999</v>
      </c>
      <c r="F9" s="1">
        <v>3.0291250000000001</v>
      </c>
      <c r="G9" s="1">
        <v>3.0291250000000001</v>
      </c>
      <c r="H9" s="1">
        <v>2.9241250000000001</v>
      </c>
      <c r="I9" s="1">
        <v>2.6311249999999999</v>
      </c>
      <c r="J9" s="1">
        <v>1.8651249999999999</v>
      </c>
      <c r="K9" s="1">
        <v>1.1841249999999999</v>
      </c>
      <c r="L9" s="1">
        <v>0.71512500000000001</v>
      </c>
      <c r="M9" s="1"/>
    </row>
    <row r="10" spans="1:13" ht="14.45" x14ac:dyDescent="0.3">
      <c r="A10" s="1"/>
      <c r="B10" s="1"/>
      <c r="C10" s="1">
        <v>3.437125</v>
      </c>
      <c r="D10" s="1">
        <v>3.2451249999999998</v>
      </c>
      <c r="E10" s="1">
        <v>3.4881250000000001</v>
      </c>
      <c r="F10" s="1">
        <v>3.0291250000000001</v>
      </c>
      <c r="G10" s="1">
        <v>3.0111249999999998</v>
      </c>
      <c r="H10" s="1">
        <v>3.0481249999999998</v>
      </c>
      <c r="I10" s="1">
        <v>2.9281250000000001</v>
      </c>
      <c r="J10" s="1">
        <v>2.0811250000000001</v>
      </c>
      <c r="K10" s="1">
        <v>1.3891249999999999</v>
      </c>
      <c r="L10" s="1">
        <v>0.827125</v>
      </c>
      <c r="M10" s="1"/>
    </row>
    <row r="11" spans="1:13" ht="14.45" x14ac:dyDescent="0.3">
      <c r="A11" s="1"/>
      <c r="B11" s="1"/>
      <c r="C11" s="1">
        <v>3.199125</v>
      </c>
      <c r="D11" s="1">
        <v>3.1331249999999997</v>
      </c>
      <c r="E11" s="1">
        <v>3.3021250000000002</v>
      </c>
      <c r="F11" s="1">
        <v>3.0803750000000001</v>
      </c>
      <c r="G11" s="1">
        <v>3.0998749999999999</v>
      </c>
      <c r="H11" s="1">
        <v>2.9876249999999995</v>
      </c>
      <c r="I11" s="1">
        <v>2.7533749999999997</v>
      </c>
      <c r="J11" s="1">
        <v>1.993625</v>
      </c>
      <c r="K11" s="1">
        <v>1.306125</v>
      </c>
      <c r="L11" s="1">
        <v>0.78612500000000007</v>
      </c>
      <c r="M11" s="1"/>
    </row>
    <row r="12" spans="1:13" ht="14.45" x14ac:dyDescent="0.3">
      <c r="C12">
        <v>0.1715672851488107</v>
      </c>
      <c r="D12">
        <v>0.13293607486307094</v>
      </c>
      <c r="E12">
        <v>0.20451568806980722</v>
      </c>
      <c r="F12">
        <v>8.6044077851606504E-2</v>
      </c>
      <c r="G12">
        <v>0.24015741365473869</v>
      </c>
      <c r="H12">
        <v>7.3957194826917663E-2</v>
      </c>
      <c r="I12">
        <v>0.1256619141453236</v>
      </c>
      <c r="J12">
        <v>9.4968415802307735E-2</v>
      </c>
      <c r="K12">
        <v>8.6691022218758837E-2</v>
      </c>
      <c r="L12">
        <v>4.9139257896987698E-2</v>
      </c>
    </row>
    <row r="15" spans="1:13" ht="14.45" x14ac:dyDescent="0.3">
      <c r="A15">
        <v>0.15562499999999999</v>
      </c>
      <c r="B15">
        <v>0.47612500000000002</v>
      </c>
      <c r="C15">
        <v>3.2173750000000001</v>
      </c>
      <c r="D15">
        <v>3.2553749999999999</v>
      </c>
      <c r="E15">
        <v>2.9163749999999999</v>
      </c>
      <c r="F15">
        <v>3.2553749999999999</v>
      </c>
      <c r="G15">
        <v>2.7283749999999998</v>
      </c>
      <c r="H15">
        <v>2.0313749999999997</v>
      </c>
      <c r="I15">
        <v>1.2553750000000001</v>
      </c>
      <c r="J15">
        <v>0.81437499999999996</v>
      </c>
      <c r="K15">
        <v>0.43437499999999996</v>
      </c>
      <c r="L15">
        <v>0.26737500000000003</v>
      </c>
    </row>
    <row r="16" spans="1:13" s="4" customFormat="1" ht="14.45" x14ac:dyDescent="0.3">
      <c r="B16" s="4">
        <v>0.32050000000000001</v>
      </c>
      <c r="C16" s="4">
        <v>2.9823749999999998</v>
      </c>
      <c r="D16" s="4">
        <v>2.8423750000000001</v>
      </c>
      <c r="E16" s="4">
        <v>2.8423750000000001</v>
      </c>
      <c r="F16" s="4">
        <v>2.9423749999999997</v>
      </c>
      <c r="G16" s="4">
        <v>2.5483750000000001</v>
      </c>
      <c r="H16" s="4">
        <v>1.9403750000000002</v>
      </c>
      <c r="I16" s="4">
        <v>1.226375</v>
      </c>
      <c r="J16" s="4">
        <v>0.71937499999999999</v>
      </c>
      <c r="K16" s="4">
        <v>0.37537500000000001</v>
      </c>
      <c r="L16" s="4">
        <v>0.25137500000000002</v>
      </c>
    </row>
    <row r="17" spans="1:12" s="4" customFormat="1" ht="14.45" x14ac:dyDescent="0.3">
      <c r="C17" s="4">
        <v>2.8703749999999997</v>
      </c>
      <c r="D17" s="4">
        <v>2.932375</v>
      </c>
      <c r="E17" s="4">
        <v>2.8423750000000001</v>
      </c>
      <c r="F17" s="4">
        <v>2.8563749999999999</v>
      </c>
      <c r="G17" s="4">
        <v>2.403375</v>
      </c>
      <c r="H17" s="4">
        <v>1.5473750000000002</v>
      </c>
      <c r="I17" s="4">
        <v>0.92037500000000005</v>
      </c>
      <c r="J17" s="4">
        <v>0.49937500000000001</v>
      </c>
      <c r="K17" s="4">
        <v>0.23837500000000003</v>
      </c>
      <c r="L17" s="4">
        <v>0.144375</v>
      </c>
    </row>
    <row r="18" spans="1:12" ht="14.45" x14ac:dyDescent="0.3">
      <c r="C18">
        <v>2.972375</v>
      </c>
      <c r="D18">
        <v>2.8023750000000001</v>
      </c>
      <c r="E18">
        <v>2.9543749999999998</v>
      </c>
      <c r="F18">
        <v>2.8023750000000001</v>
      </c>
      <c r="G18">
        <v>2.347375</v>
      </c>
      <c r="H18">
        <v>1.5433750000000002</v>
      </c>
      <c r="I18">
        <v>0.83037499999999997</v>
      </c>
      <c r="J18">
        <v>0.52137500000000003</v>
      </c>
      <c r="K18">
        <v>0.27537500000000004</v>
      </c>
      <c r="L18">
        <v>0.16237500000000002</v>
      </c>
    </row>
    <row r="19" spans="1:12" ht="14.45" x14ac:dyDescent="0.3">
      <c r="C19">
        <v>3.0106249999999997</v>
      </c>
      <c r="D19">
        <v>2.9581249999999999</v>
      </c>
      <c r="E19">
        <v>2.8888749999999996</v>
      </c>
      <c r="F19">
        <v>2.9641249999999997</v>
      </c>
      <c r="G19">
        <v>2.506875</v>
      </c>
      <c r="H19">
        <v>1.7656250000000002</v>
      </c>
      <c r="I19">
        <v>1.058125</v>
      </c>
      <c r="J19">
        <v>0.638625</v>
      </c>
      <c r="K19">
        <v>0.33087500000000003</v>
      </c>
      <c r="L19">
        <v>0.20637500000000003</v>
      </c>
    </row>
    <row r="20" spans="1:12" ht="14.45" x14ac:dyDescent="0.3">
      <c r="C20">
        <v>0.14682954970531892</v>
      </c>
      <c r="D20">
        <v>0.20548864526618812</v>
      </c>
      <c r="E20">
        <v>5.5889772469268906E-2</v>
      </c>
      <c r="F20">
        <v>0.20254443956820931</v>
      </c>
      <c r="G20">
        <v>0.17023219436992512</v>
      </c>
      <c r="H20">
        <v>0.25702707380092366</v>
      </c>
      <c r="I20">
        <v>0.21452330875688091</v>
      </c>
      <c r="J20">
        <v>0.15334791597323183</v>
      </c>
      <c r="K20">
        <v>9.0053687690547377E-2</v>
      </c>
      <c r="L20">
        <v>6.1983868869246811E-2</v>
      </c>
    </row>
    <row r="21" spans="1:12" ht="14.45" x14ac:dyDescent="0.3">
      <c r="C21">
        <v>3.1033749999999998</v>
      </c>
      <c r="D21">
        <v>3.0063749999999998</v>
      </c>
      <c r="E21">
        <v>3.0523750000000001</v>
      </c>
      <c r="F21">
        <v>3.1933750000000001</v>
      </c>
      <c r="G21">
        <v>2.9853749999999999</v>
      </c>
      <c r="H21">
        <v>2.6843749999999997</v>
      </c>
      <c r="I21">
        <v>1.8663749999999999</v>
      </c>
      <c r="J21">
        <v>0.981375</v>
      </c>
      <c r="K21">
        <v>0.55637499999999995</v>
      </c>
      <c r="L21">
        <v>0.39837500000000003</v>
      </c>
    </row>
    <row r="22" spans="1:12" s="4" customFormat="1" ht="14.45" x14ac:dyDescent="0.3">
      <c r="C22" s="4">
        <v>3.008375</v>
      </c>
      <c r="D22" s="4">
        <v>2.8463749999999997</v>
      </c>
      <c r="E22" s="4">
        <v>2.928375</v>
      </c>
      <c r="F22" s="4">
        <v>3.3093749999999997</v>
      </c>
      <c r="G22" s="4">
        <v>3.230375</v>
      </c>
      <c r="H22" s="4">
        <v>2.790375</v>
      </c>
      <c r="I22" s="4">
        <v>2.0663749999999999</v>
      </c>
      <c r="J22" s="4">
        <v>1.165375</v>
      </c>
      <c r="K22" s="4">
        <v>0.63337500000000002</v>
      </c>
      <c r="L22" s="4">
        <v>0.37537500000000001</v>
      </c>
    </row>
    <row r="23" spans="1:12" s="4" customFormat="1" ht="14.45" x14ac:dyDescent="0.3">
      <c r="C23" s="4">
        <v>3.0463749999999998</v>
      </c>
      <c r="D23" s="4">
        <v>2.8623749999999997</v>
      </c>
      <c r="E23" s="4">
        <v>3.0943749999999999</v>
      </c>
      <c r="F23" s="4">
        <v>2.9633750000000001</v>
      </c>
      <c r="G23" s="4">
        <v>2.8063750000000001</v>
      </c>
      <c r="H23" s="4">
        <v>2.8333749999999998</v>
      </c>
      <c r="I23" s="4">
        <v>2.2313749999999999</v>
      </c>
      <c r="J23" s="4">
        <v>1.4443750000000002</v>
      </c>
      <c r="K23" s="4">
        <v>0.82237499999999997</v>
      </c>
      <c r="L23" s="4">
        <v>0.45237499999999997</v>
      </c>
    </row>
    <row r="24" spans="1:12" ht="14.45" x14ac:dyDescent="0.3">
      <c r="C24">
        <v>3.0013749999999999</v>
      </c>
      <c r="D24">
        <v>2.9633750000000001</v>
      </c>
      <c r="E24">
        <v>2.9823749999999998</v>
      </c>
      <c r="F24">
        <v>2.9823749999999998</v>
      </c>
      <c r="G24">
        <v>2.7413749999999997</v>
      </c>
      <c r="H24">
        <v>3.1393749999999998</v>
      </c>
      <c r="I24">
        <v>2.5583749999999998</v>
      </c>
      <c r="J24">
        <v>1.653375</v>
      </c>
      <c r="K24">
        <v>0.95037500000000008</v>
      </c>
      <c r="L24">
        <v>0.54537499999999994</v>
      </c>
    </row>
    <row r="25" spans="1:12" ht="14.45" x14ac:dyDescent="0.3">
      <c r="C25">
        <v>3.0398749999999999</v>
      </c>
      <c r="D25">
        <v>2.9196249999999999</v>
      </c>
      <c r="E25">
        <v>3.0143749999999998</v>
      </c>
      <c r="F25">
        <v>3.1121249999999998</v>
      </c>
      <c r="G25">
        <v>2.9408749999999997</v>
      </c>
      <c r="H25">
        <v>2.8618749999999999</v>
      </c>
      <c r="I25">
        <v>2.180625</v>
      </c>
      <c r="J25">
        <v>1.3111250000000001</v>
      </c>
      <c r="K25">
        <v>0.74062500000000009</v>
      </c>
      <c r="L25">
        <v>0.44287500000000002</v>
      </c>
    </row>
    <row r="26" spans="1:12" ht="14.45" x14ac:dyDescent="0.3">
      <c r="C26">
        <v>4.6722585544894578E-2</v>
      </c>
      <c r="D26">
        <v>7.7637512410775711E-2</v>
      </c>
      <c r="E26">
        <v>7.3629704150793215E-2</v>
      </c>
      <c r="F26">
        <v>0.1678002284464078</v>
      </c>
      <c r="G26">
        <v>0.21884621693478437</v>
      </c>
      <c r="H26">
        <v>0.19530915663805079</v>
      </c>
      <c r="I26">
        <v>0.29273238631896992</v>
      </c>
      <c r="J26">
        <v>0.29713563120792708</v>
      </c>
      <c r="K26">
        <v>0.17900535373744106</v>
      </c>
      <c r="L26">
        <v>7.5571158519635973E-2</v>
      </c>
    </row>
    <row r="28" spans="1:12" ht="14.45" x14ac:dyDescent="0.3">
      <c r="A28" s="2" t="s">
        <v>7</v>
      </c>
      <c r="B28" s="2" t="s">
        <v>0</v>
      </c>
      <c r="C28" s="2">
        <v>1000</v>
      </c>
      <c r="D28" s="2">
        <f>C28/2</f>
        <v>500</v>
      </c>
      <c r="E28" s="2">
        <f>D28/2</f>
        <v>250</v>
      </c>
      <c r="F28" s="2">
        <f t="shared" ref="F28:L28" si="0">E28/2</f>
        <v>125</v>
      </c>
      <c r="G28" s="2">
        <f t="shared" si="0"/>
        <v>62.5</v>
      </c>
      <c r="H28" s="2">
        <f t="shared" si="0"/>
        <v>31.25</v>
      </c>
      <c r="I28" s="2">
        <f t="shared" si="0"/>
        <v>15.625</v>
      </c>
      <c r="J28" s="2">
        <f t="shared" si="0"/>
        <v>7.8125</v>
      </c>
      <c r="K28" s="2">
        <f t="shared" si="0"/>
        <v>3.90625</v>
      </c>
      <c r="L28" s="2">
        <f t="shared" si="0"/>
        <v>1.953125</v>
      </c>
    </row>
    <row r="29" spans="1:12" ht="14.45" x14ac:dyDescent="0.3">
      <c r="A29" s="2" t="s">
        <v>1</v>
      </c>
      <c r="B29" s="2">
        <f>AVERAGE(B2,B16)</f>
        <v>0.18006250000000001</v>
      </c>
      <c r="C29" s="2">
        <f>AVERAGE(C1:C4,C15:C18)</f>
        <v>3.0066250000000001</v>
      </c>
      <c r="D29" s="2">
        <f t="shared" ref="D29:L29" si="1">AVERAGE(D1:D4,D15:D18)</f>
        <v>2.9955000000000003</v>
      </c>
      <c r="E29" s="2">
        <f t="shared" si="1"/>
        <v>2.9196249999999999</v>
      </c>
      <c r="F29" s="2">
        <f t="shared" si="1"/>
        <v>2.9402499999999998</v>
      </c>
      <c r="G29" s="2">
        <f t="shared" si="1"/>
        <v>2.6392500000000001</v>
      </c>
      <c r="H29" s="2">
        <f t="shared" si="1"/>
        <v>2.0702500000000001</v>
      </c>
      <c r="I29" s="2">
        <f t="shared" si="1"/>
        <v>1.259625</v>
      </c>
      <c r="J29" s="2">
        <f t="shared" si="1"/>
        <v>0.74562499999999998</v>
      </c>
      <c r="K29" s="2">
        <f t="shared" si="1"/>
        <v>0.42300000000000004</v>
      </c>
      <c r="L29" s="2">
        <f t="shared" si="1"/>
        <v>0.25187500000000002</v>
      </c>
    </row>
    <row r="30" spans="1:12" ht="14.45" x14ac:dyDescent="0.3">
      <c r="A30" s="2" t="s">
        <v>2</v>
      </c>
      <c r="B30" s="2"/>
      <c r="C30" s="2">
        <f t="shared" ref="C30:L30" si="2">STDEV(C1:C4,C15:C18)</f>
        <v>0.15381981573999415</v>
      </c>
      <c r="D30" s="2">
        <f t="shared" si="2"/>
        <v>0.15043205632918988</v>
      </c>
      <c r="E30" s="2">
        <f t="shared" si="2"/>
        <v>8.5912122876476843E-2</v>
      </c>
      <c r="F30" s="2">
        <f t="shared" si="2"/>
        <v>0.14164221777825584</v>
      </c>
      <c r="G30" s="2">
        <f t="shared" si="2"/>
        <v>0.18381323013164358</v>
      </c>
      <c r="H30" s="2">
        <f t="shared" si="2"/>
        <v>0.36960415601404767</v>
      </c>
      <c r="I30" s="2">
        <f t="shared" si="2"/>
        <v>0.26358754306139504</v>
      </c>
      <c r="J30" s="2">
        <f t="shared" si="2"/>
        <v>0.15990968433105326</v>
      </c>
      <c r="K30" s="2">
        <f t="shared" si="2"/>
        <v>0.12122890096248276</v>
      </c>
      <c r="L30" s="2">
        <f t="shared" si="2"/>
        <v>6.4529893404972671E-2</v>
      </c>
    </row>
    <row r="31" spans="1:12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x14ac:dyDescent="0.25">
      <c r="A32" s="2" t="s">
        <v>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x14ac:dyDescent="0.25">
      <c r="A33" s="2" t="s">
        <v>8</v>
      </c>
      <c r="B33" s="2"/>
      <c r="C33" s="2">
        <f>AVERAGE(C7:C10,C21:C24)</f>
        <v>3.1194999999999999</v>
      </c>
      <c r="D33" s="2">
        <f t="shared" ref="D33:L33" si="3">AVERAGE(D7:D10,D21:D24)</f>
        <v>3.0263749999999998</v>
      </c>
      <c r="E33" s="2">
        <f t="shared" si="3"/>
        <v>3.1582500000000002</v>
      </c>
      <c r="F33" s="2">
        <f t="shared" si="3"/>
        <v>3.0962499999999999</v>
      </c>
      <c r="G33" s="2">
        <f t="shared" si="3"/>
        <v>3.0203749999999996</v>
      </c>
      <c r="H33" s="2">
        <f t="shared" si="3"/>
        <v>2.92475</v>
      </c>
      <c r="I33" s="2">
        <f t="shared" si="3"/>
        <v>2.4669999999999996</v>
      </c>
      <c r="J33" s="2">
        <f t="shared" si="3"/>
        <v>1.6523750000000001</v>
      </c>
      <c r="K33" s="2">
        <f t="shared" si="3"/>
        <v>1.0233749999999999</v>
      </c>
      <c r="L33" s="2">
        <f t="shared" si="3"/>
        <v>0.61450000000000005</v>
      </c>
    </row>
    <row r="34" spans="1:12" x14ac:dyDescent="0.25">
      <c r="A34" s="2" t="s">
        <v>2</v>
      </c>
      <c r="B34" s="2"/>
      <c r="C34" s="2">
        <f t="shared" ref="C34:L34" si="4">STDEV(C7:C10,C21:C24)</f>
        <v>0.14421022600951114</v>
      </c>
      <c r="D34" s="2">
        <f t="shared" si="4"/>
        <v>0.15225131948759688</v>
      </c>
      <c r="E34" s="2">
        <f t="shared" si="4"/>
        <v>0.2095383105101036</v>
      </c>
      <c r="F34" s="2">
        <f t="shared" si="4"/>
        <v>0.12461232741128435</v>
      </c>
      <c r="G34" s="2">
        <f t="shared" si="4"/>
        <v>0.22905699540257909</v>
      </c>
      <c r="H34" s="2">
        <f t="shared" si="4"/>
        <v>0.1523492814929843</v>
      </c>
      <c r="I34" s="2">
        <f t="shared" si="4"/>
        <v>0.37043114359197488</v>
      </c>
      <c r="J34" s="2">
        <f t="shared" si="4"/>
        <v>0.41808034942033412</v>
      </c>
      <c r="K34" s="2">
        <f t="shared" si="4"/>
        <v>0.32912334856620018</v>
      </c>
      <c r="L34" s="2">
        <f t="shared" si="4"/>
        <v>0.19273153978674964</v>
      </c>
    </row>
    <row r="37" spans="1:12" x14ac:dyDescent="0.25">
      <c r="A37" s="2" t="s">
        <v>12</v>
      </c>
    </row>
    <row r="39" spans="1:12" ht="18" x14ac:dyDescent="0.35">
      <c r="A39" s="6" t="s">
        <v>16</v>
      </c>
      <c r="B39" t="s">
        <v>13</v>
      </c>
      <c r="C39">
        <v>3.0066250000000001</v>
      </c>
      <c r="D39">
        <v>2.9955000000000003</v>
      </c>
      <c r="E39">
        <v>2.9196249999999999</v>
      </c>
      <c r="F39">
        <v>2.9402499999999998</v>
      </c>
      <c r="G39">
        <v>2.6392500000000001</v>
      </c>
      <c r="H39">
        <v>2.0702500000000001</v>
      </c>
      <c r="I39">
        <v>1.259625</v>
      </c>
      <c r="J39">
        <v>0.74562499999999998</v>
      </c>
      <c r="K39">
        <v>0.42300000000000004</v>
      </c>
      <c r="L39">
        <v>0.25187500000000002</v>
      </c>
    </row>
    <row r="40" spans="1:12" x14ac:dyDescent="0.25">
      <c r="A40" s="6"/>
    </row>
    <row r="41" spans="1:12" ht="18" x14ac:dyDescent="0.35">
      <c r="A41" s="6" t="s">
        <v>17</v>
      </c>
      <c r="B41" t="s">
        <v>13</v>
      </c>
      <c r="C41">
        <v>3.1194999999999999</v>
      </c>
      <c r="D41">
        <v>3.0263749999999998</v>
      </c>
      <c r="E41">
        <v>3.1582500000000002</v>
      </c>
      <c r="F41">
        <v>3.0962499999999999</v>
      </c>
      <c r="G41">
        <v>3.0203749999999996</v>
      </c>
      <c r="H41">
        <v>2.92475</v>
      </c>
      <c r="I41">
        <v>2.4669999999999996</v>
      </c>
      <c r="J41">
        <v>1.6523750000000001</v>
      </c>
      <c r="K41">
        <v>1.0233749999999999</v>
      </c>
      <c r="L41">
        <v>0.61450000000000005</v>
      </c>
    </row>
    <row r="42" spans="1:12" x14ac:dyDescent="0.25">
      <c r="A42" s="6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topLeftCell="A14" zoomScale="80" zoomScaleNormal="80" workbookViewId="0">
      <selection activeCell="I48" sqref="I48"/>
    </sheetView>
  </sheetViews>
  <sheetFormatPr defaultRowHeight="15" x14ac:dyDescent="0.25"/>
  <sheetData>
    <row r="1" spans="1:13" ht="14.45" x14ac:dyDescent="0.3">
      <c r="A1">
        <v>9.4375000000000001E-2</v>
      </c>
      <c r="B1">
        <v>0.13487499999999999</v>
      </c>
      <c r="C1">
        <v>3.6596250000000001</v>
      </c>
      <c r="D1">
        <v>3.317625</v>
      </c>
      <c r="E1">
        <v>3.0166250000000003</v>
      </c>
      <c r="F1">
        <v>2.9436249999999999</v>
      </c>
      <c r="G1">
        <v>2.6776249999999999</v>
      </c>
      <c r="H1">
        <v>1.973625</v>
      </c>
      <c r="I1">
        <v>1.1396249999999999</v>
      </c>
      <c r="J1">
        <v>0.67962500000000003</v>
      </c>
      <c r="K1">
        <v>0.37062500000000004</v>
      </c>
      <c r="L1">
        <v>0.24662500000000004</v>
      </c>
    </row>
    <row r="2" spans="1:13" s="4" customFormat="1" ht="14.45" x14ac:dyDescent="0.3">
      <c r="B2" s="4">
        <v>4.0499999999999994E-2</v>
      </c>
      <c r="C2" s="4">
        <v>3.0056250000000002</v>
      </c>
      <c r="D2" s="4">
        <v>2.9196249999999999</v>
      </c>
      <c r="E2" s="4">
        <v>2.8896250000000001</v>
      </c>
      <c r="F2" s="4">
        <v>2.9686250000000003</v>
      </c>
      <c r="G2" s="4">
        <v>2.6856249999999999</v>
      </c>
      <c r="H2" s="4">
        <v>2.116625</v>
      </c>
      <c r="I2" s="4">
        <v>1.4586249999999998</v>
      </c>
      <c r="J2" s="4">
        <v>0.890625</v>
      </c>
      <c r="K2" s="4">
        <v>0.54562500000000003</v>
      </c>
      <c r="L2" s="4">
        <v>0.326625</v>
      </c>
    </row>
    <row r="3" spans="1:13" ht="14.45" x14ac:dyDescent="0.3">
      <c r="A3" s="1"/>
      <c r="B3" s="1"/>
      <c r="C3" s="1">
        <v>3.1546250000000002</v>
      </c>
      <c r="D3" s="1">
        <v>3.0876250000000001</v>
      </c>
      <c r="E3" s="1">
        <v>3.2636250000000002</v>
      </c>
      <c r="F3" s="1">
        <v>3.067625</v>
      </c>
      <c r="G3" s="1">
        <v>2.6946250000000003</v>
      </c>
      <c r="H3" s="1">
        <v>1.9886250000000001</v>
      </c>
      <c r="I3" s="1">
        <v>1.3476249999999999</v>
      </c>
      <c r="J3" s="1">
        <v>0.83662500000000006</v>
      </c>
      <c r="K3" s="1">
        <v>0.49162499999999998</v>
      </c>
      <c r="L3" s="1">
        <v>0.29462500000000003</v>
      </c>
      <c r="M3" s="1"/>
    </row>
    <row r="4" spans="1:13" ht="14.45" x14ac:dyDescent="0.3">
      <c r="A4" s="1"/>
      <c r="B4" s="1"/>
      <c r="C4" s="1">
        <v>2.9336250000000001</v>
      </c>
      <c r="D4" s="1">
        <v>2.9336250000000001</v>
      </c>
      <c r="E4" s="1">
        <v>2.8526250000000002</v>
      </c>
      <c r="F4" s="1">
        <v>2.648625</v>
      </c>
      <c r="G4" s="1">
        <v>2.563625</v>
      </c>
      <c r="H4" s="1">
        <v>1.8296249999999998</v>
      </c>
      <c r="I4" s="1">
        <v>1.0496249999999998</v>
      </c>
      <c r="J4" s="1">
        <v>0.62862499999999999</v>
      </c>
      <c r="K4" s="1">
        <v>0.35962500000000003</v>
      </c>
      <c r="L4" s="1">
        <v>0.19462499999999999</v>
      </c>
      <c r="M4" s="1"/>
    </row>
    <row r="5" spans="1:13" ht="14.45" x14ac:dyDescent="0.3">
      <c r="A5" s="1"/>
      <c r="B5" s="1"/>
      <c r="C5" s="1">
        <v>3.1883749999999997</v>
      </c>
      <c r="D5" s="1">
        <v>3.0646249999999995</v>
      </c>
      <c r="E5" s="1">
        <v>3.0056250000000002</v>
      </c>
      <c r="F5" s="1">
        <v>2.9071249999999997</v>
      </c>
      <c r="G5" s="1">
        <v>2.6553749999999998</v>
      </c>
      <c r="H5" s="1">
        <v>1.977125</v>
      </c>
      <c r="I5" s="1">
        <v>1.248875</v>
      </c>
      <c r="J5" s="1">
        <v>0.75887500000000008</v>
      </c>
      <c r="K5" s="1">
        <v>0.44187500000000002</v>
      </c>
      <c r="L5" s="1">
        <v>0.265625</v>
      </c>
      <c r="M5" s="1"/>
    </row>
    <row r="6" spans="1:13" ht="14.45" x14ac:dyDescent="0.3">
      <c r="A6" s="1"/>
      <c r="B6" s="1"/>
      <c r="C6" s="1">
        <v>0.32736867596030012</v>
      </c>
      <c r="D6" s="1">
        <v>0.185044138878629</v>
      </c>
      <c r="E6" s="1">
        <v>0.18578661595138299</v>
      </c>
      <c r="F6" s="1">
        <v>0.18045959843318582</v>
      </c>
      <c r="G6" s="1">
        <v>6.1559591724875296E-2</v>
      </c>
      <c r="H6" s="1">
        <v>0.11741805653305634</v>
      </c>
      <c r="I6" s="1">
        <v>0.18742353996585615</v>
      </c>
      <c r="J6" s="1">
        <v>0.12469796844108258</v>
      </c>
      <c r="K6" s="1">
        <v>9.1434402715826799E-2</v>
      </c>
      <c r="L6" s="1">
        <v>5.7631010171029819E-2</v>
      </c>
      <c r="M6" s="1"/>
    </row>
    <row r="7" spans="1:13" ht="14.45" x14ac:dyDescent="0.3">
      <c r="A7" s="1"/>
      <c r="B7" s="1"/>
      <c r="C7" s="1">
        <v>3.4156249999999999</v>
      </c>
      <c r="D7" s="1">
        <v>3.2236250000000002</v>
      </c>
      <c r="E7" s="1">
        <v>3.2236250000000002</v>
      </c>
      <c r="F7" s="1">
        <v>3.0686249999999999</v>
      </c>
      <c r="G7" s="1">
        <v>3.1656249999999999</v>
      </c>
      <c r="H7" s="1">
        <v>3.1396250000000001</v>
      </c>
      <c r="I7" s="1">
        <v>3.047625</v>
      </c>
      <c r="J7" s="1">
        <v>2.8516250000000003</v>
      </c>
      <c r="K7" s="1">
        <v>2.2906249999999999</v>
      </c>
      <c r="L7" s="1">
        <v>1.3696249999999999</v>
      </c>
      <c r="M7" s="1"/>
    </row>
    <row r="8" spans="1:13" ht="14.45" x14ac:dyDescent="0.3">
      <c r="A8" s="1"/>
      <c r="B8" s="1"/>
      <c r="C8" s="1">
        <v>3.0486249999999999</v>
      </c>
      <c r="D8" s="1">
        <v>2.9906250000000001</v>
      </c>
      <c r="E8" s="1">
        <v>2.9736250000000002</v>
      </c>
      <c r="F8" s="1">
        <v>3.0286250000000003</v>
      </c>
      <c r="G8" s="1">
        <v>2.9396249999999999</v>
      </c>
      <c r="H8" s="1">
        <v>2.9566250000000003</v>
      </c>
      <c r="I8" s="1">
        <v>2.9236249999999999</v>
      </c>
      <c r="J8" s="1">
        <v>2.9566250000000003</v>
      </c>
      <c r="K8" s="1">
        <v>2.680625</v>
      </c>
      <c r="L8" s="1">
        <v>1.6906249999999998</v>
      </c>
      <c r="M8" s="1"/>
    </row>
    <row r="9" spans="1:13" ht="14.45" x14ac:dyDescent="0.3">
      <c r="A9" s="1"/>
      <c r="B9" s="1"/>
      <c r="C9" s="1">
        <v>3.0066250000000001</v>
      </c>
      <c r="D9" s="1">
        <v>3.3456250000000001</v>
      </c>
      <c r="E9" s="1">
        <v>2.9886250000000003</v>
      </c>
      <c r="F9" s="1">
        <v>3.1076250000000001</v>
      </c>
      <c r="G9" s="1">
        <v>3.2406250000000001</v>
      </c>
      <c r="H9" s="1">
        <v>2.8956250000000003</v>
      </c>
      <c r="I9" s="1">
        <v>2.9396249999999999</v>
      </c>
      <c r="J9" s="1">
        <v>2.9556249999999999</v>
      </c>
      <c r="K9" s="1">
        <v>2.3336250000000001</v>
      </c>
      <c r="L9" s="1">
        <v>1.4646249999999998</v>
      </c>
      <c r="M9" s="1"/>
    </row>
    <row r="10" spans="1:13" ht="14.45" x14ac:dyDescent="0.3">
      <c r="A10" s="1"/>
      <c r="B10" s="1"/>
      <c r="C10" s="1">
        <v>3.2016249999999999</v>
      </c>
      <c r="D10" s="1">
        <v>3.0256250000000002</v>
      </c>
      <c r="E10" s="1">
        <v>3.0086250000000003</v>
      </c>
      <c r="F10" s="1">
        <v>3.104625</v>
      </c>
      <c r="G10" s="1">
        <v>3.1276250000000001</v>
      </c>
      <c r="H10" s="1">
        <v>2.9286250000000003</v>
      </c>
      <c r="I10" s="1">
        <v>3.2926250000000001</v>
      </c>
      <c r="J10" s="1">
        <v>2.9436249999999999</v>
      </c>
      <c r="K10" s="1">
        <v>2.8496250000000001</v>
      </c>
      <c r="L10" s="1">
        <v>2.2666250000000003</v>
      </c>
      <c r="M10" s="1"/>
    </row>
    <row r="11" spans="1:13" ht="14.45" x14ac:dyDescent="0.3">
      <c r="A11" s="1"/>
      <c r="B11" s="1"/>
      <c r="C11" s="1">
        <v>3.1681249999999999</v>
      </c>
      <c r="D11" s="1">
        <v>3.1463749999999999</v>
      </c>
      <c r="E11" s="1">
        <v>3.0486250000000004</v>
      </c>
      <c r="F11" s="1">
        <v>3.0773750000000004</v>
      </c>
      <c r="G11" s="1">
        <v>3.1183749999999999</v>
      </c>
      <c r="H11" s="1">
        <v>2.9801250000000001</v>
      </c>
      <c r="I11" s="1">
        <v>3.0508749999999996</v>
      </c>
      <c r="J11" s="1">
        <v>2.9268749999999999</v>
      </c>
      <c r="K11" s="1">
        <v>2.5386249999999997</v>
      </c>
      <c r="L11" s="1">
        <v>1.697875</v>
      </c>
      <c r="M11" s="1"/>
    </row>
    <row r="12" spans="1:13" ht="14.45" x14ac:dyDescent="0.3">
      <c r="C12">
        <v>0.18505944990732026</v>
      </c>
      <c r="D12">
        <v>0.16783598144220047</v>
      </c>
      <c r="E12">
        <v>0.11754431788336966</v>
      </c>
      <c r="F12">
        <v>3.7016888037759071E-2</v>
      </c>
      <c r="G12">
        <v>0.12808167966835335</v>
      </c>
      <c r="H12">
        <v>0.10921690955769309</v>
      </c>
      <c r="I12">
        <v>0.17031612763720694</v>
      </c>
      <c r="J12">
        <v>5.051319959508923E-2</v>
      </c>
      <c r="K12">
        <v>0.27105595978198549</v>
      </c>
      <c r="L12">
        <v>0.40236084551059337</v>
      </c>
    </row>
    <row r="15" spans="1:13" ht="14.45" x14ac:dyDescent="0.3">
      <c r="A15">
        <v>0.318</v>
      </c>
      <c r="B15">
        <v>0.41287499999999994</v>
      </c>
      <c r="C15">
        <v>3.4350000000000001</v>
      </c>
      <c r="D15">
        <v>2.8329999999999997</v>
      </c>
      <c r="E15">
        <v>2.6019999999999999</v>
      </c>
      <c r="F15">
        <v>1.746</v>
      </c>
      <c r="G15">
        <v>1.0779999999999998</v>
      </c>
      <c r="H15">
        <v>0.47200000000000003</v>
      </c>
      <c r="I15">
        <v>0.13500000000000001</v>
      </c>
      <c r="J15">
        <v>-5.0000000000000044E-3</v>
      </c>
      <c r="K15">
        <v>6.0999999999999999E-2</v>
      </c>
      <c r="L15">
        <v>0.11699999999999999</v>
      </c>
    </row>
    <row r="16" spans="1:13" s="4" customFormat="1" ht="14.45" x14ac:dyDescent="0.3">
      <c r="B16" s="4">
        <v>9.4874999999999932E-2</v>
      </c>
      <c r="C16" s="4">
        <v>2.863</v>
      </c>
      <c r="D16" s="4">
        <v>2.7269999999999999</v>
      </c>
      <c r="E16" s="4">
        <v>2.665</v>
      </c>
      <c r="F16" s="4">
        <v>1.6339999999999999</v>
      </c>
      <c r="G16" s="4">
        <v>1.016</v>
      </c>
      <c r="H16" s="4">
        <v>0.45100000000000001</v>
      </c>
      <c r="I16" s="4">
        <v>0.11199999999999999</v>
      </c>
      <c r="J16" s="4">
        <v>-3.999999999999998E-2</v>
      </c>
      <c r="K16" s="4">
        <v>3.7999999999999978E-2</v>
      </c>
      <c r="L16" s="4">
        <v>0.19500000000000001</v>
      </c>
    </row>
    <row r="17" spans="1:12" s="4" customFormat="1" ht="14.45" x14ac:dyDescent="0.3">
      <c r="C17" s="4">
        <v>2.9289999999999998</v>
      </c>
      <c r="D17" s="4">
        <v>3.008</v>
      </c>
      <c r="E17" s="4">
        <v>2.64</v>
      </c>
      <c r="F17" s="4">
        <v>1.528</v>
      </c>
      <c r="G17" s="4">
        <v>0.93299999999999983</v>
      </c>
      <c r="H17" s="4">
        <v>0.37699999999999995</v>
      </c>
      <c r="I17" s="4">
        <v>0.12</v>
      </c>
      <c r="J17" s="4">
        <v>-3.999999999999998E-2</v>
      </c>
      <c r="K17" s="4">
        <v>3.5999999999999976E-2</v>
      </c>
      <c r="L17" s="4">
        <v>0.15299999999999997</v>
      </c>
    </row>
    <row r="18" spans="1:12" ht="14.45" x14ac:dyDescent="0.3">
      <c r="C18">
        <v>2.6659999999999999</v>
      </c>
      <c r="D18">
        <v>2.87</v>
      </c>
      <c r="E18">
        <v>2.5909999999999997</v>
      </c>
      <c r="F18">
        <v>1.5619999999999998</v>
      </c>
      <c r="G18">
        <v>1.01</v>
      </c>
      <c r="H18">
        <v>0.52200000000000002</v>
      </c>
      <c r="I18">
        <v>0.20200000000000001</v>
      </c>
      <c r="J18">
        <v>1.6000000000000014E-2</v>
      </c>
      <c r="K18">
        <v>0.14400000000000002</v>
      </c>
      <c r="L18">
        <v>0.16699999999999998</v>
      </c>
    </row>
    <row r="19" spans="1:12" ht="14.45" x14ac:dyDescent="0.3">
      <c r="C19">
        <v>2.9732500000000002</v>
      </c>
      <c r="D19">
        <v>2.8594999999999997</v>
      </c>
      <c r="E19">
        <v>2.6244999999999998</v>
      </c>
      <c r="F19">
        <v>1.6174999999999997</v>
      </c>
      <c r="G19">
        <v>1.00925</v>
      </c>
      <c r="H19">
        <v>0.45550000000000002</v>
      </c>
      <c r="I19">
        <v>0.14224999999999999</v>
      </c>
      <c r="J19">
        <v>-1.7249999999999988E-2</v>
      </c>
      <c r="K19">
        <v>6.9749999999999993E-2</v>
      </c>
      <c r="L19">
        <v>0.15799999999999997</v>
      </c>
    </row>
    <row r="20" spans="1:12" ht="14.45" x14ac:dyDescent="0.3">
      <c r="C20">
        <v>0.32747964313322853</v>
      </c>
      <c r="D20">
        <v>0.11607612444713462</v>
      </c>
      <c r="E20">
        <v>3.42003898613258E-2</v>
      </c>
      <c r="F20">
        <v>9.6393291606141698E-2</v>
      </c>
      <c r="G20">
        <v>5.9404685561550347E-2</v>
      </c>
      <c r="H20">
        <v>6.0213509004762696E-2</v>
      </c>
      <c r="I20">
        <v>4.0958312139702961E-2</v>
      </c>
      <c r="J20">
        <v>2.7633011658763022E-2</v>
      </c>
      <c r="K20">
        <v>5.0783035225030311E-2</v>
      </c>
      <c r="L20">
        <v>3.2434549480453816E-2</v>
      </c>
    </row>
    <row r="21" spans="1:12" ht="14.45" x14ac:dyDescent="0.3">
      <c r="C21">
        <v>3.1440000000000001</v>
      </c>
      <c r="D21">
        <v>3.1440000000000001</v>
      </c>
      <c r="E21">
        <v>3.2989999999999999</v>
      </c>
      <c r="F21">
        <v>2.9979999999999998</v>
      </c>
      <c r="G21">
        <v>2.653</v>
      </c>
      <c r="H21">
        <v>1.9539999999999997</v>
      </c>
      <c r="I21">
        <v>0.93799999999999994</v>
      </c>
      <c r="J21">
        <v>0.45800000000000002</v>
      </c>
      <c r="K21">
        <v>1.0719999999999998</v>
      </c>
      <c r="L21">
        <v>0.69499999999999984</v>
      </c>
    </row>
    <row r="22" spans="1:12" s="4" customFormat="1" ht="14.45" x14ac:dyDescent="0.3">
      <c r="C22" s="4">
        <v>2.9689999999999999</v>
      </c>
      <c r="D22" s="4">
        <v>2.9689999999999999</v>
      </c>
      <c r="E22" s="4">
        <v>3.0659999999999998</v>
      </c>
      <c r="F22" s="4">
        <v>3.3</v>
      </c>
      <c r="G22" s="4">
        <v>2.669</v>
      </c>
      <c r="H22" s="4">
        <v>1.9689999999999999</v>
      </c>
      <c r="I22" s="4">
        <v>1.1439999999999999</v>
      </c>
      <c r="J22" s="4">
        <v>0.59099999999999997</v>
      </c>
      <c r="K22" s="4">
        <v>1.3179999999999998</v>
      </c>
      <c r="L22" s="4">
        <v>0.96799999999999997</v>
      </c>
    </row>
    <row r="23" spans="1:12" s="4" customFormat="1" ht="14.45" x14ac:dyDescent="0.3">
      <c r="C23" s="4">
        <v>3.12</v>
      </c>
      <c r="D23" s="4">
        <v>2.9569999999999999</v>
      </c>
      <c r="E23" s="4">
        <v>2.819</v>
      </c>
      <c r="F23" s="4">
        <v>2.86</v>
      </c>
      <c r="G23" s="4">
        <v>2.746</v>
      </c>
      <c r="H23" s="4">
        <v>2.093</v>
      </c>
      <c r="I23" s="4">
        <v>1.252</v>
      </c>
      <c r="J23" s="4">
        <v>2.3159999999999998</v>
      </c>
      <c r="K23" s="4">
        <v>1.456</v>
      </c>
      <c r="L23" s="4">
        <v>1.008</v>
      </c>
    </row>
    <row r="24" spans="1:12" ht="14.45" x14ac:dyDescent="0.3">
      <c r="C24">
        <v>3.0350000000000001</v>
      </c>
      <c r="D24">
        <v>3.0669999999999997</v>
      </c>
      <c r="E24">
        <v>2.9020000000000001</v>
      </c>
      <c r="F24">
        <v>3.1389999999999998</v>
      </c>
      <c r="G24">
        <v>2.718</v>
      </c>
      <c r="H24">
        <v>2.2999999999999998</v>
      </c>
      <c r="I24">
        <v>1.6539999999999999</v>
      </c>
      <c r="J24">
        <v>2.6240000000000001</v>
      </c>
      <c r="K24">
        <v>1.9870000000000001</v>
      </c>
      <c r="L24">
        <v>1.496</v>
      </c>
    </row>
    <row r="25" spans="1:12" ht="14.45" x14ac:dyDescent="0.3">
      <c r="C25">
        <v>3.0670000000000002</v>
      </c>
      <c r="D25">
        <v>3.0342500000000001</v>
      </c>
      <c r="E25">
        <v>3.0215000000000005</v>
      </c>
      <c r="F25">
        <v>3.0742499999999997</v>
      </c>
      <c r="G25">
        <v>2.6964999999999999</v>
      </c>
      <c r="H25">
        <v>2.0789999999999997</v>
      </c>
      <c r="I25">
        <v>1.2469999999999999</v>
      </c>
      <c r="J25">
        <v>1.49725</v>
      </c>
      <c r="K25">
        <v>1.45825</v>
      </c>
      <c r="L25">
        <v>1.04175</v>
      </c>
    </row>
    <row r="26" spans="1:12" ht="14.45" x14ac:dyDescent="0.3">
      <c r="C26">
        <v>8.0345089043035778E-2</v>
      </c>
      <c r="D26">
        <v>8.8209504400980979E-2</v>
      </c>
      <c r="E26">
        <v>0.2115600781496042</v>
      </c>
      <c r="F26">
        <v>0.18874387407277618</v>
      </c>
      <c r="G26">
        <v>4.3054229370256582E-2</v>
      </c>
      <c r="H26">
        <v>0.1599604117690791</v>
      </c>
      <c r="I26">
        <v>0.30097840454092439</v>
      </c>
      <c r="J26">
        <v>1.1315544986138908</v>
      </c>
      <c r="K26">
        <v>0.38662675799794288</v>
      </c>
      <c r="L26">
        <v>0.33324502997044109</v>
      </c>
    </row>
    <row r="28" spans="1:12" ht="14.45" x14ac:dyDescent="0.3">
      <c r="A28" s="2" t="s">
        <v>10</v>
      </c>
      <c r="B28" s="2" t="s">
        <v>0</v>
      </c>
      <c r="C28" s="2">
        <v>1000</v>
      </c>
      <c r="D28" s="2">
        <f>C28/2</f>
        <v>500</v>
      </c>
      <c r="E28" s="2">
        <f>D28/2</f>
        <v>250</v>
      </c>
      <c r="F28" s="2">
        <f t="shared" ref="F28:L28" si="0">E28/2</f>
        <v>125</v>
      </c>
      <c r="G28" s="2">
        <f t="shared" si="0"/>
        <v>62.5</v>
      </c>
      <c r="H28" s="2">
        <f t="shared" si="0"/>
        <v>31.25</v>
      </c>
      <c r="I28" s="2">
        <f t="shared" si="0"/>
        <v>15.625</v>
      </c>
      <c r="J28" s="2">
        <f t="shared" si="0"/>
        <v>7.8125</v>
      </c>
      <c r="K28" s="2">
        <f t="shared" si="0"/>
        <v>3.90625</v>
      </c>
      <c r="L28" s="2">
        <f t="shared" si="0"/>
        <v>1.953125</v>
      </c>
    </row>
    <row r="29" spans="1:12" ht="14.45" x14ac:dyDescent="0.3">
      <c r="A29" s="2" t="s">
        <v>1</v>
      </c>
      <c r="B29" s="2">
        <f>AVERAGE(B2,B16)</f>
        <v>6.7687499999999956E-2</v>
      </c>
      <c r="C29" s="2">
        <f>AVERAGE(C1:C4,C15:C18)</f>
        <v>3.0808124999999995</v>
      </c>
      <c r="D29" s="2">
        <f t="shared" ref="D29:L29" si="1">AVERAGE(D1:D4,D15:D18)</f>
        <v>2.9620624999999996</v>
      </c>
      <c r="E29" s="2">
        <f t="shared" si="1"/>
        <v>2.8150625000000002</v>
      </c>
      <c r="F29" s="2">
        <f t="shared" si="1"/>
        <v>2.2623125000000002</v>
      </c>
      <c r="G29" s="2">
        <f t="shared" si="1"/>
        <v>1.8323124999999998</v>
      </c>
      <c r="H29" s="2">
        <f t="shared" si="1"/>
        <v>1.2163125000000001</v>
      </c>
      <c r="I29" s="2">
        <f t="shared" si="1"/>
        <v>0.69556249999999997</v>
      </c>
      <c r="J29" s="2">
        <f t="shared" si="1"/>
        <v>0.37081250000000004</v>
      </c>
      <c r="K29" s="2">
        <f t="shared" si="1"/>
        <v>0.2558125</v>
      </c>
      <c r="L29" s="2">
        <f t="shared" si="1"/>
        <v>0.21181250000000001</v>
      </c>
    </row>
    <row r="30" spans="1:12" ht="14.45" x14ac:dyDescent="0.3">
      <c r="A30" s="2" t="s">
        <v>2</v>
      </c>
      <c r="B30" s="2"/>
      <c r="C30" s="2">
        <f t="shared" ref="C30:L30" si="2">STDEV(C1:C4,C15:C18)</f>
        <v>0.32421267959033145</v>
      </c>
      <c r="D30" s="2">
        <f t="shared" si="2"/>
        <v>0.18019732487708348</v>
      </c>
      <c r="E30" s="2">
        <f t="shared" si="2"/>
        <v>0.23831897330198945</v>
      </c>
      <c r="F30" s="2">
        <f t="shared" si="2"/>
        <v>0.70222475861161571</v>
      </c>
      <c r="G30" s="2">
        <f t="shared" si="2"/>
        <v>0.88167134557449711</v>
      </c>
      <c r="H30" s="2">
        <f t="shared" si="2"/>
        <v>0.81791750206152891</v>
      </c>
      <c r="I30" s="2">
        <f t="shared" si="2"/>
        <v>0.60470220312504686</v>
      </c>
      <c r="J30" s="2">
        <f t="shared" si="2"/>
        <v>0.4231986246348835</v>
      </c>
      <c r="K30" s="2">
        <f t="shared" si="2"/>
        <v>0.21036415068365891</v>
      </c>
      <c r="L30" s="2">
        <f t="shared" si="2"/>
        <v>7.1998294870682281E-2</v>
      </c>
    </row>
    <row r="31" spans="1:12" ht="14.45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14.45" x14ac:dyDescent="0.3">
      <c r="A32" s="2" t="s">
        <v>11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14.45" x14ac:dyDescent="0.3">
      <c r="A33" s="2" t="s">
        <v>1</v>
      </c>
      <c r="B33" s="2"/>
      <c r="C33" s="2">
        <f t="shared" ref="C33:K33" si="3">AVERAGE(C7:C10,C21:C24)</f>
        <v>3.1175625</v>
      </c>
      <c r="D33" s="2">
        <f t="shared" si="3"/>
        <v>3.0903125</v>
      </c>
      <c r="E33" s="2">
        <f t="shared" si="3"/>
        <v>3.0350625</v>
      </c>
      <c r="F33" s="2">
        <f t="shared" si="3"/>
        <v>3.0758125000000001</v>
      </c>
      <c r="G33" s="2">
        <f t="shared" si="3"/>
        <v>2.9074374999999999</v>
      </c>
      <c r="H33" s="2">
        <f t="shared" si="3"/>
        <v>2.5295625000000004</v>
      </c>
      <c r="I33" s="2">
        <f t="shared" si="3"/>
        <v>2.1489374999999997</v>
      </c>
      <c r="J33" s="2">
        <f t="shared" si="3"/>
        <v>2.2120624999999996</v>
      </c>
      <c r="K33" s="2">
        <f t="shared" si="3"/>
        <v>1.9984374999999996</v>
      </c>
      <c r="L33" s="2">
        <f>AVERAGE(L7:L10,L21:L24)</f>
        <v>1.3698124999999999</v>
      </c>
    </row>
    <row r="34" spans="1:12" ht="14.45" x14ac:dyDescent="0.3">
      <c r="A34" s="2" t="s">
        <v>2</v>
      </c>
      <c r="B34" s="2"/>
      <c r="C34" s="2">
        <f t="shared" ref="C34:L34" si="4">STDEV(C7:C10,C21:C24)</f>
        <v>0.14270825947165272</v>
      </c>
      <c r="D34" s="2">
        <f t="shared" si="4"/>
        <v>0.13783713539121872</v>
      </c>
      <c r="E34" s="2">
        <f t="shared" si="4"/>
        <v>0.1591021824623588</v>
      </c>
      <c r="F34" s="2">
        <f t="shared" si="4"/>
        <v>0.1259268672399069</v>
      </c>
      <c r="G34" s="2">
        <f t="shared" si="4"/>
        <v>0.24223152480043317</v>
      </c>
      <c r="H34" s="2">
        <f t="shared" si="4"/>
        <v>0.49808196847650249</v>
      </c>
      <c r="I34" s="2">
        <f t="shared" si="4"/>
        <v>0.99043401606496295</v>
      </c>
      <c r="J34" s="2">
        <f t="shared" si="4"/>
        <v>1.0647975515997672</v>
      </c>
      <c r="K34" s="2">
        <f t="shared" si="4"/>
        <v>0.65501090844242638</v>
      </c>
      <c r="L34" s="2">
        <f t="shared" si="4"/>
        <v>0.48987455117903134</v>
      </c>
    </row>
    <row r="36" spans="1:12" ht="14.45" x14ac:dyDescent="0.3">
      <c r="A36" s="2" t="s">
        <v>12</v>
      </c>
    </row>
    <row r="38" spans="1:12" ht="15.6" x14ac:dyDescent="0.35">
      <c r="A38" s="6" t="s">
        <v>18</v>
      </c>
      <c r="B38" t="s">
        <v>13</v>
      </c>
      <c r="C38">
        <v>3.0808124999999995</v>
      </c>
      <c r="D38">
        <v>2.9620624999999996</v>
      </c>
      <c r="E38">
        <v>2.8150625000000002</v>
      </c>
      <c r="F38">
        <v>2.2623125000000002</v>
      </c>
      <c r="G38">
        <v>1.8323124999999998</v>
      </c>
      <c r="H38">
        <v>1.2163125000000001</v>
      </c>
      <c r="I38">
        <v>0.69556249999999997</v>
      </c>
      <c r="J38">
        <v>0.37081250000000004</v>
      </c>
      <c r="K38">
        <v>0.2558125</v>
      </c>
      <c r="L38">
        <v>0.21181250000000001</v>
      </c>
    </row>
    <row r="39" spans="1:12" ht="14.45" x14ac:dyDescent="0.3">
      <c r="A39" s="6"/>
    </row>
    <row r="40" spans="1:12" ht="15.6" x14ac:dyDescent="0.35">
      <c r="A40" s="6" t="s">
        <v>19</v>
      </c>
      <c r="B40" t="s">
        <v>13</v>
      </c>
      <c r="C40">
        <v>3.1175625</v>
      </c>
      <c r="D40">
        <v>3.0903125</v>
      </c>
      <c r="E40">
        <v>3.0350625</v>
      </c>
      <c r="F40">
        <v>3.0758125000000001</v>
      </c>
      <c r="G40">
        <v>2.9074374999999999</v>
      </c>
      <c r="H40">
        <v>2.5295625000000004</v>
      </c>
      <c r="I40">
        <v>2.1489374999999997</v>
      </c>
      <c r="J40">
        <v>2.2120624999999996</v>
      </c>
      <c r="K40">
        <v>1.9984374999999996</v>
      </c>
      <c r="L40">
        <v>1.3698124999999999</v>
      </c>
    </row>
    <row r="41" spans="1:12" ht="14.45" x14ac:dyDescent="0.3">
      <c r="A41" s="6"/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"/>
  <sheetViews>
    <sheetView topLeftCell="A19" zoomScale="90" zoomScaleNormal="90" workbookViewId="0">
      <selection activeCell="O41" sqref="O41"/>
    </sheetView>
  </sheetViews>
  <sheetFormatPr defaultRowHeight="15" x14ac:dyDescent="0.25"/>
  <sheetData>
    <row r="1" spans="1:15" x14ac:dyDescent="0.3">
      <c r="A1" t="s">
        <v>4</v>
      </c>
      <c r="B1" s="1">
        <v>0.13200000000000001</v>
      </c>
      <c r="C1" s="1">
        <f>0.162-B5</f>
        <v>5.4500000000000007E-2</v>
      </c>
      <c r="D1" s="1">
        <f>0.197-B5</f>
        <v>8.950000000000001E-2</v>
      </c>
      <c r="E1" s="1">
        <f>0.213-B5</f>
        <v>0.1055</v>
      </c>
      <c r="F1" s="1">
        <f>0.24-B5</f>
        <v>0.13250000000000001</v>
      </c>
      <c r="G1" s="1">
        <f>0.253-B5</f>
        <v>0.14550000000000002</v>
      </c>
      <c r="H1" s="1">
        <f>0.281-B5</f>
        <v>0.17350000000000004</v>
      </c>
      <c r="I1" s="1">
        <f>0.265-B5</f>
        <v>0.15750000000000003</v>
      </c>
      <c r="J1" s="1">
        <f>0.272-B5</f>
        <v>0.16450000000000004</v>
      </c>
      <c r="K1" s="1">
        <f>0.251-B5</f>
        <v>0.14350000000000002</v>
      </c>
      <c r="L1" s="1">
        <f>0.21-B5</f>
        <v>0.10249999999999999</v>
      </c>
      <c r="M1" s="1">
        <f>0.189-B5</f>
        <v>8.1500000000000003E-2</v>
      </c>
      <c r="N1" s="1"/>
      <c r="O1" s="1"/>
    </row>
    <row r="2" spans="1:15" x14ac:dyDescent="0.3">
      <c r="A2" t="s">
        <v>21</v>
      </c>
      <c r="B2" s="1">
        <v>0.112</v>
      </c>
      <c r="C2" s="1">
        <f>0.153-B5</f>
        <v>4.5499999999999999E-2</v>
      </c>
      <c r="D2" s="1">
        <f>0.143-B5</f>
        <v>3.549999999999999E-2</v>
      </c>
      <c r="E2" s="1">
        <f>0.169-B5</f>
        <v>6.1500000000000013E-2</v>
      </c>
      <c r="F2" s="1">
        <f>0.21-B5</f>
        <v>0.10249999999999999</v>
      </c>
      <c r="G2" s="1">
        <f>0.252-B5</f>
        <v>0.14450000000000002</v>
      </c>
      <c r="H2" s="1">
        <f>0.213-B5</f>
        <v>0.1055</v>
      </c>
      <c r="I2" s="1">
        <f>0.219-B5</f>
        <v>0.1115</v>
      </c>
      <c r="J2" s="1">
        <f>0.202-B5</f>
        <v>9.4500000000000015E-2</v>
      </c>
      <c r="K2" s="1">
        <f>0.166-B5</f>
        <v>5.850000000000001E-2</v>
      </c>
      <c r="L2" s="1">
        <f>0.131-B5</f>
        <v>2.3500000000000007E-2</v>
      </c>
      <c r="M2" s="1">
        <f>0.132-B5</f>
        <v>2.4500000000000008E-2</v>
      </c>
      <c r="N2" s="1"/>
      <c r="O2" s="1"/>
    </row>
    <row r="3" spans="1:15" x14ac:dyDescent="0.3">
      <c r="B3" s="1">
        <v>7.6999999999999999E-2</v>
      </c>
      <c r="C3" s="1">
        <f>0.084-B5</f>
        <v>-2.3499999999999993E-2</v>
      </c>
      <c r="D3" s="1">
        <f>0.093-B5</f>
        <v>-1.4499999999999999E-2</v>
      </c>
      <c r="E3" s="1">
        <f>0.101-B5</f>
        <v>-6.4999999999999919E-3</v>
      </c>
      <c r="F3" s="1">
        <f>0.134-B5</f>
        <v>2.650000000000001E-2</v>
      </c>
      <c r="G3" s="1">
        <f>0.141-B5</f>
        <v>3.3499999999999988E-2</v>
      </c>
      <c r="H3" s="1">
        <f>0.156-B5</f>
        <v>4.8500000000000001E-2</v>
      </c>
      <c r="I3" s="1">
        <f>0.148-B5</f>
        <v>4.0499999999999994E-2</v>
      </c>
      <c r="J3" s="1">
        <f>0.143-B5</f>
        <v>3.549999999999999E-2</v>
      </c>
      <c r="K3" s="1">
        <f>0.13-B5</f>
        <v>2.2500000000000006E-2</v>
      </c>
      <c r="L3" s="1">
        <f>0.11-B5</f>
        <v>2.5000000000000022E-3</v>
      </c>
      <c r="M3" s="1">
        <f>0.115-B5</f>
        <v>7.5000000000000067E-3</v>
      </c>
      <c r="N3" s="1"/>
      <c r="O3" s="1"/>
    </row>
    <row r="4" spans="1:15" x14ac:dyDescent="0.3">
      <c r="B4" s="1">
        <v>0.109</v>
      </c>
      <c r="C4" s="1">
        <f>0.139-B5</f>
        <v>3.1500000000000014E-2</v>
      </c>
      <c r="D4" s="1">
        <f>0.119-B5</f>
        <v>1.1499999999999996E-2</v>
      </c>
      <c r="E4" s="1">
        <f>0.161-B5</f>
        <v>5.3500000000000006E-2</v>
      </c>
      <c r="F4" s="1">
        <f>0.137-B5</f>
        <v>2.9500000000000012E-2</v>
      </c>
      <c r="G4" s="1">
        <f>0.14-B5</f>
        <v>3.2500000000000015E-2</v>
      </c>
      <c r="H4" s="1">
        <f>0.167-B5</f>
        <v>5.9500000000000011E-2</v>
      </c>
      <c r="I4" s="1">
        <f>0.144-B5</f>
        <v>3.6499999999999991E-2</v>
      </c>
      <c r="J4" s="1">
        <f>0.138-B5</f>
        <v>3.0500000000000013E-2</v>
      </c>
      <c r="K4" s="1">
        <f>0.138-B5</f>
        <v>3.0500000000000013E-2</v>
      </c>
      <c r="L4" s="1">
        <f>0.12-B5</f>
        <v>1.2499999999999997E-2</v>
      </c>
      <c r="M4" s="1">
        <f>0.127-B5</f>
        <v>1.9500000000000003E-2</v>
      </c>
      <c r="N4" s="1"/>
      <c r="O4" s="8"/>
    </row>
    <row r="5" spans="1:15" x14ac:dyDescent="0.3">
      <c r="A5" t="s">
        <v>1</v>
      </c>
      <c r="B5">
        <f>AVERAGE(B1:B4)</f>
        <v>0.1075</v>
      </c>
      <c r="C5">
        <f>AVERAGE(C1:C4)</f>
        <v>2.7000000000000007E-2</v>
      </c>
      <c r="D5">
        <f t="shared" ref="D5:M5" si="0">AVERAGE(D1:D4)</f>
        <v>3.0499999999999999E-2</v>
      </c>
      <c r="E5">
        <f t="shared" si="0"/>
        <v>5.3500000000000006E-2</v>
      </c>
      <c r="F5">
        <f t="shared" si="0"/>
        <v>7.2750000000000009E-2</v>
      </c>
      <c r="G5">
        <f t="shared" si="0"/>
        <v>8.900000000000001E-2</v>
      </c>
      <c r="H5">
        <f t="shared" si="0"/>
        <v>9.6750000000000003E-2</v>
      </c>
      <c r="I5">
        <f t="shared" si="0"/>
        <v>8.6499999999999994E-2</v>
      </c>
      <c r="J5">
        <f t="shared" si="0"/>
        <v>8.1250000000000017E-2</v>
      </c>
      <c r="K5">
        <f t="shared" si="0"/>
        <v>6.3750000000000015E-2</v>
      </c>
      <c r="L5">
        <f t="shared" si="0"/>
        <v>3.5250000000000004E-2</v>
      </c>
      <c r="M5">
        <f t="shared" si="0"/>
        <v>3.3250000000000002E-2</v>
      </c>
    </row>
    <row r="6" spans="1:15" x14ac:dyDescent="0.3">
      <c r="A6" t="s">
        <v>2</v>
      </c>
      <c r="B6">
        <f>STDEV(B1:B4)</f>
        <v>2.2752289262108736E-2</v>
      </c>
      <c r="C6">
        <f>STDEV(C1:C4)</f>
        <v>3.4971416900091423E-2</v>
      </c>
      <c r="D6">
        <f t="shared" ref="D6:M6" si="1">STDEV(D1:D4)</f>
        <v>4.4317039612320683E-2</v>
      </c>
      <c r="E6">
        <f t="shared" si="1"/>
        <v>4.6072406781789324E-2</v>
      </c>
      <c r="F6">
        <f t="shared" si="1"/>
        <v>5.3118578043216971E-2</v>
      </c>
      <c r="G6">
        <f t="shared" si="1"/>
        <v>6.4665807554430715E-2</v>
      </c>
      <c r="H6">
        <f t="shared" si="1"/>
        <v>5.6811823886699302E-2</v>
      </c>
      <c r="I6">
        <f t="shared" si="1"/>
        <v>5.8543431171510077E-2</v>
      </c>
      <c r="J6">
        <f t="shared" si="1"/>
        <v>6.2649155354774472E-2</v>
      </c>
      <c r="K6">
        <f t="shared" si="1"/>
        <v>5.5361689521425075E-2</v>
      </c>
      <c r="L6">
        <f t="shared" si="1"/>
        <v>4.5646284989397906E-2</v>
      </c>
      <c r="M6">
        <f t="shared" si="1"/>
        <v>3.2948191654980599E-2</v>
      </c>
    </row>
    <row r="7" spans="1:15" x14ac:dyDescent="0.3">
      <c r="A7" t="s">
        <v>4</v>
      </c>
      <c r="B7" s="1">
        <v>0.108</v>
      </c>
      <c r="C7" s="1">
        <f>3.047-B11</f>
        <v>2.9365000000000001</v>
      </c>
      <c r="D7" s="1">
        <f>2.556-B11</f>
        <v>2.4455</v>
      </c>
      <c r="E7" s="1">
        <f>1.788-B11</f>
        <v>1.6775</v>
      </c>
      <c r="F7" s="1">
        <f>1.11-B11</f>
        <v>0.99950000000000006</v>
      </c>
      <c r="G7" s="1">
        <f>0.711-B11</f>
        <v>0.60049999999999992</v>
      </c>
      <c r="H7" s="1">
        <f>0.48-B11</f>
        <v>0.3695</v>
      </c>
      <c r="I7" s="1">
        <f>0.315-B11</f>
        <v>0.20450000000000002</v>
      </c>
      <c r="J7" s="1">
        <f>0.232-B11</f>
        <v>0.12150000000000001</v>
      </c>
      <c r="K7" s="1">
        <f>0.172-B11</f>
        <v>6.1499999999999985E-2</v>
      </c>
      <c r="L7" s="1">
        <f>0.128-B11</f>
        <v>1.7500000000000002E-2</v>
      </c>
      <c r="M7" s="1">
        <f>0.146-B11</f>
        <v>3.549999999999999E-2</v>
      </c>
    </row>
    <row r="8" spans="1:15" x14ac:dyDescent="0.3">
      <c r="A8" t="s">
        <v>13</v>
      </c>
      <c r="B8" s="1">
        <v>9.4E-2</v>
      </c>
      <c r="C8" s="1">
        <f>3.048-B11</f>
        <v>2.9375</v>
      </c>
      <c r="D8" s="1">
        <f>2.748-B11</f>
        <v>2.6375000000000002</v>
      </c>
      <c r="E8" s="1">
        <f>1.819-B11</f>
        <v>1.7084999999999999</v>
      </c>
      <c r="F8" s="1">
        <f>1.132-B11</f>
        <v>1.0214999999999999</v>
      </c>
      <c r="G8" s="1">
        <f>0.624-B11</f>
        <v>0.51349999999999996</v>
      </c>
      <c r="H8" s="1">
        <f>0.418-B11</f>
        <v>0.3075</v>
      </c>
      <c r="I8" s="1">
        <f>0.259-B11</f>
        <v>0.14850000000000002</v>
      </c>
      <c r="J8" s="1">
        <f>0.193-B11</f>
        <v>8.2500000000000004E-2</v>
      </c>
      <c r="K8" s="1">
        <f>0.143-B11</f>
        <v>3.2499999999999987E-2</v>
      </c>
      <c r="L8" s="1">
        <f>0.113-B11</f>
        <v>2.5000000000000022E-3</v>
      </c>
      <c r="M8" s="1">
        <f>0.131-B11</f>
        <v>2.0500000000000004E-2</v>
      </c>
    </row>
    <row r="9" spans="1:15" x14ac:dyDescent="0.3">
      <c r="B9" s="1">
        <v>0.112</v>
      </c>
      <c r="C9" s="1">
        <f>2.971-B11</f>
        <v>2.8605</v>
      </c>
      <c r="D9" s="1">
        <f>2.939-B11</f>
        <v>2.8285</v>
      </c>
      <c r="E9" s="1">
        <f>1.833-B11</f>
        <v>1.7224999999999999</v>
      </c>
      <c r="F9" s="1">
        <f>1.084-B11</f>
        <v>0.97350000000000003</v>
      </c>
      <c r="G9" s="1">
        <f>0.709-B11</f>
        <v>0.59849999999999992</v>
      </c>
      <c r="H9" s="1">
        <f>0.453-B11</f>
        <v>0.34250000000000003</v>
      </c>
      <c r="I9" s="1">
        <f>0.297-B11</f>
        <v>0.1865</v>
      </c>
      <c r="J9" s="1">
        <f>0.205-B11</f>
        <v>9.4499999999999987E-2</v>
      </c>
      <c r="K9" s="1">
        <f>0.161-B11</f>
        <v>5.0500000000000003E-2</v>
      </c>
      <c r="L9" s="1">
        <f>0.124-B11</f>
        <v>1.3499999999999998E-2</v>
      </c>
      <c r="M9" s="1">
        <f>0.13-B11</f>
        <v>1.9500000000000003E-2</v>
      </c>
    </row>
    <row r="10" spans="1:15" x14ac:dyDescent="0.3">
      <c r="B10" s="8">
        <v>0.128</v>
      </c>
      <c r="C10" s="8">
        <f>3.175-B11</f>
        <v>3.0644999999999998</v>
      </c>
      <c r="D10" s="8">
        <f>3.025-B11</f>
        <v>2.9144999999999999</v>
      </c>
      <c r="E10" s="8">
        <f>2.423-B11</f>
        <v>2.3125</v>
      </c>
      <c r="F10" s="8">
        <f>1.607-B11</f>
        <v>1.4964999999999999</v>
      </c>
      <c r="G10" s="8">
        <f>0.949-B11</f>
        <v>0.83849999999999991</v>
      </c>
      <c r="H10" s="8">
        <f>0.635-B11</f>
        <v>0.52449999999999997</v>
      </c>
      <c r="I10" s="8">
        <f>0.388-B11</f>
        <v>0.27750000000000002</v>
      </c>
      <c r="J10" s="8">
        <f>0.243-B11</f>
        <v>0.13250000000000001</v>
      </c>
      <c r="K10" s="8">
        <f>0.195-B11</f>
        <v>8.4500000000000006E-2</v>
      </c>
      <c r="L10" s="8">
        <f>0.164-B11</f>
        <v>5.3500000000000006E-2</v>
      </c>
      <c r="M10" s="8">
        <f>0.159-B11</f>
        <v>4.8500000000000001E-2</v>
      </c>
    </row>
    <row r="11" spans="1:15" x14ac:dyDescent="0.3">
      <c r="A11" t="s">
        <v>1</v>
      </c>
      <c r="B11">
        <f>AVERAGE(B7:B10)</f>
        <v>0.1105</v>
      </c>
      <c r="C11">
        <f>AVERAGE(C7:C10)</f>
        <v>2.9497499999999999</v>
      </c>
      <c r="D11">
        <f t="shared" ref="D11:M11" si="2">AVERAGE(D7:D10)</f>
        <v>2.7065000000000001</v>
      </c>
      <c r="E11">
        <f t="shared" si="2"/>
        <v>1.8552500000000001</v>
      </c>
      <c r="F11">
        <f t="shared" si="2"/>
        <v>1.1227499999999999</v>
      </c>
      <c r="G11">
        <f t="shared" si="2"/>
        <v>0.63774999999999993</v>
      </c>
      <c r="H11">
        <f t="shared" si="2"/>
        <v>0.38600000000000001</v>
      </c>
      <c r="I11">
        <f t="shared" si="2"/>
        <v>0.20425000000000004</v>
      </c>
      <c r="J11">
        <f t="shared" si="2"/>
        <v>0.10775</v>
      </c>
      <c r="K11">
        <f t="shared" si="2"/>
        <v>5.7249999999999995E-2</v>
      </c>
      <c r="L11">
        <f t="shared" si="2"/>
        <v>2.1750000000000002E-2</v>
      </c>
      <c r="M11">
        <f t="shared" si="2"/>
        <v>3.1E-2</v>
      </c>
    </row>
    <row r="12" spans="1:15" x14ac:dyDescent="0.3">
      <c r="A12" t="s">
        <v>2</v>
      </c>
      <c r="B12">
        <f>STDEV(B7:B10)</f>
        <v>1.3988090172238158E-2</v>
      </c>
      <c r="C12">
        <f>STDEV(C7:C10)</f>
        <v>8.4574917479514261E-2</v>
      </c>
      <c r="D12">
        <f t="shared" ref="D12:M12" si="3">STDEV(D7:D10)</f>
        <v>0.20898963291672301</v>
      </c>
      <c r="E12">
        <f t="shared" si="3"/>
        <v>0.30541269892829637</v>
      </c>
      <c r="F12">
        <f t="shared" si="3"/>
        <v>0.24993782560202185</v>
      </c>
      <c r="G12">
        <f t="shared" si="3"/>
        <v>0.13984127907500465</v>
      </c>
      <c r="H12">
        <f t="shared" si="3"/>
        <v>9.5758376483034799E-2</v>
      </c>
      <c r="I12">
        <f t="shared" si="3"/>
        <v>5.4125625477525058E-2</v>
      </c>
      <c r="J12">
        <f t="shared" si="3"/>
        <v>2.3200215516240397E-2</v>
      </c>
      <c r="K12">
        <f t="shared" si="3"/>
        <v>2.1746647251166481E-2</v>
      </c>
      <c r="L12">
        <f t="shared" si="3"/>
        <v>2.2096379793984357E-2</v>
      </c>
      <c r="M12">
        <f t="shared" si="3"/>
        <v>1.377195217340906E-2</v>
      </c>
    </row>
    <row r="14" spans="1:15" x14ac:dyDescent="0.3">
      <c r="A14" t="s">
        <v>22</v>
      </c>
      <c r="B14" t="s">
        <v>0</v>
      </c>
      <c r="C14">
        <v>4</v>
      </c>
      <c r="D14">
        <v>2</v>
      </c>
      <c r="E14">
        <v>1</v>
      </c>
      <c r="F14">
        <v>0.5</v>
      </c>
      <c r="G14">
        <v>0.25</v>
      </c>
      <c r="H14">
        <v>0.125</v>
      </c>
      <c r="I14">
        <v>6.25E-2</v>
      </c>
      <c r="J14">
        <v>3.125E-2</v>
      </c>
      <c r="K14">
        <v>7.6249999999999998E-2</v>
      </c>
      <c r="L14">
        <f t="shared" ref="L14:M14" si="4">K14/2</f>
        <v>3.8124999999999999E-2</v>
      </c>
      <c r="M14">
        <f t="shared" si="4"/>
        <v>1.90625E-2</v>
      </c>
    </row>
    <row r="15" spans="1:15" x14ac:dyDescent="0.3">
      <c r="A15" t="s">
        <v>1</v>
      </c>
      <c r="B15">
        <v>0.1105</v>
      </c>
      <c r="C15">
        <v>2.9497499999999999</v>
      </c>
      <c r="D15">
        <v>2.7065000000000001</v>
      </c>
      <c r="E15">
        <v>1.8552500000000001</v>
      </c>
      <c r="F15">
        <v>1.1227499999999999</v>
      </c>
      <c r="G15">
        <v>0.63774999999999993</v>
      </c>
      <c r="H15">
        <v>0.38600000000000001</v>
      </c>
      <c r="I15">
        <v>0.20425000000000004</v>
      </c>
      <c r="J15">
        <v>0.10775</v>
      </c>
      <c r="K15">
        <v>5.7249999999999995E-2</v>
      </c>
      <c r="L15">
        <v>2.1750000000000002E-2</v>
      </c>
      <c r="M15">
        <v>3.1E-2</v>
      </c>
    </row>
    <row r="16" spans="1:15" x14ac:dyDescent="0.3">
      <c r="A16" t="s">
        <v>2</v>
      </c>
      <c r="B16">
        <v>1.3988090172238158E-2</v>
      </c>
      <c r="C16">
        <v>8.4574917479514261E-2</v>
      </c>
      <c r="D16">
        <v>0.20898963291672301</v>
      </c>
      <c r="E16">
        <v>0.30541269892829637</v>
      </c>
      <c r="F16">
        <v>0.24993782560202185</v>
      </c>
      <c r="G16">
        <v>0.13984127907500465</v>
      </c>
      <c r="H16">
        <v>9.5758376483034799E-2</v>
      </c>
      <c r="I16">
        <v>5.4125625477525058E-2</v>
      </c>
      <c r="J16">
        <v>2.3200215516240397E-2</v>
      </c>
      <c r="K16">
        <v>2.1746647251166481E-2</v>
      </c>
      <c r="L16">
        <v>2.2096379793984357E-2</v>
      </c>
      <c r="M16">
        <v>1.377195217340906E-2</v>
      </c>
    </row>
    <row r="18" spans="1:13" x14ac:dyDescent="0.3">
      <c r="A18" t="s">
        <v>12</v>
      </c>
    </row>
    <row r="20" spans="1:13" x14ac:dyDescent="0.3">
      <c r="A20" t="s">
        <v>20</v>
      </c>
      <c r="B20" t="s">
        <v>13</v>
      </c>
      <c r="C20">
        <v>2.9497499999999999</v>
      </c>
      <c r="D20">
        <v>2.7065000000000001</v>
      </c>
      <c r="E20">
        <v>1.8552500000000001</v>
      </c>
      <c r="F20">
        <v>1.1227499999999999</v>
      </c>
      <c r="G20">
        <v>0.63774999999999993</v>
      </c>
      <c r="H20">
        <v>0.38600000000000001</v>
      </c>
      <c r="I20">
        <v>0.20425000000000004</v>
      </c>
      <c r="J20">
        <v>0.10775</v>
      </c>
      <c r="K20">
        <v>5.7249999999999995E-2</v>
      </c>
      <c r="L20">
        <v>2.1750000000000002E-2</v>
      </c>
      <c r="M20">
        <v>3.1E-2</v>
      </c>
    </row>
    <row r="21" spans="1:13" x14ac:dyDescent="0.3">
      <c r="A21" t="s">
        <v>20</v>
      </c>
      <c r="B21" t="s">
        <v>21</v>
      </c>
      <c r="C21">
        <v>2.7000000000000007E-2</v>
      </c>
      <c r="D21">
        <v>3.0499999999999999E-2</v>
      </c>
      <c r="E21">
        <v>5.3500000000000006E-2</v>
      </c>
      <c r="F21">
        <v>7.2750000000000009E-2</v>
      </c>
      <c r="G21">
        <v>8.900000000000001E-2</v>
      </c>
      <c r="H21">
        <v>9.6750000000000003E-2</v>
      </c>
      <c r="I21">
        <v>8.6499999999999994E-2</v>
      </c>
      <c r="J21">
        <v>8.1250000000000017E-2</v>
      </c>
      <c r="K21">
        <v>6.3750000000000015E-2</v>
      </c>
      <c r="L21">
        <v>3.5250000000000004E-2</v>
      </c>
      <c r="M21">
        <v>3.3250000000000002E-2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12-1 and 12-2 on MA</vt:lpstr>
      <vt:lpstr>16-1 and 16-2 on MA</vt:lpstr>
      <vt:lpstr>18-1 and 18-2 on MA</vt:lpstr>
      <vt:lpstr>12-2 titrated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Heena</dc:creator>
  <cp:lastModifiedBy>User</cp:lastModifiedBy>
  <dcterms:created xsi:type="dcterms:W3CDTF">2017-04-06T16:43:25Z</dcterms:created>
  <dcterms:modified xsi:type="dcterms:W3CDTF">2018-10-16T07:43:55Z</dcterms:modified>
</cp:coreProperties>
</file>