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borah\Documents\My Projects\DLNM PhD - University of Pretoria\PhD Thesis UP Genetics\Write-up\NIS paper\"/>
    </mc:Choice>
  </mc:AlternateContent>
  <xr:revisionPtr revIDLastSave="0" documentId="13_ncr:1_{2E6A0E6E-0A55-4A5C-9EAE-BD41808DA126}" xr6:coauthVersionLast="47" xr6:coauthVersionMax="47" xr10:uidLastSave="{00000000-0000-0000-0000-000000000000}"/>
  <bookViews>
    <workbookView xWindow="22932" yWindow="-108" windowWidth="30936" windowHeight="16776" tabRatio="811" xr2:uid="{4D3238E9-75B1-45B8-A135-36187FCFAF4C}"/>
  </bookViews>
  <sheets>
    <sheet name="Armbor1 S7.3 &amp; S46.1" sheetId="1" r:id="rId1"/>
    <sheet name="Armcep1 S262.2 and S270.2" sheetId="2" r:id="rId2"/>
    <sheet name="Armfum1 S5.2 and S10.2" sheetId="3" r:id="rId3"/>
    <sheet name="Armme1 S3.5 and S10.2" sheetId="4" r:id="rId4"/>
    <sheet name="Armnab1 S9.2 and S10.2" sheetId="5" r:id="rId5"/>
    <sheet name="Armnov1 S5.8" sheetId="6" r:id="rId6"/>
    <sheet name="(Des)Armect1 S5.4 and S11.2" sheetId="7" r:id="rId7"/>
    <sheet name="(Des)Armtab1 S1.4 and S55.1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00" i="8" l="1"/>
  <c r="G699" i="8"/>
  <c r="G698" i="8"/>
  <c r="G697" i="8"/>
  <c r="G696" i="8"/>
  <c r="G695" i="8"/>
  <c r="G694" i="8"/>
  <c r="G693" i="8"/>
  <c r="G692" i="8"/>
  <c r="G691" i="8"/>
  <c r="G690" i="8"/>
  <c r="G689" i="8"/>
  <c r="G688" i="8"/>
  <c r="G687" i="8"/>
  <c r="G686" i="8"/>
  <c r="G685" i="8"/>
  <c r="G684" i="8"/>
  <c r="G683" i="8"/>
  <c r="G682" i="8"/>
  <c r="G681" i="8"/>
  <c r="G680" i="8"/>
  <c r="G679" i="8"/>
  <c r="G678" i="8"/>
  <c r="G677" i="8"/>
  <c r="G676" i="8"/>
  <c r="G675" i="8"/>
  <c r="G674" i="8"/>
  <c r="G673" i="8"/>
  <c r="G672" i="8"/>
  <c r="G671" i="8"/>
  <c r="G670" i="8"/>
  <c r="G669" i="8"/>
  <c r="G668" i="8"/>
  <c r="G667" i="8"/>
  <c r="G666" i="8"/>
  <c r="G665" i="8"/>
  <c r="G664" i="8"/>
  <c r="G663" i="8"/>
  <c r="G662" i="8"/>
  <c r="G661" i="8"/>
  <c r="G660" i="8"/>
  <c r="G659" i="8"/>
  <c r="G658" i="8"/>
  <c r="G657" i="8"/>
  <c r="G656" i="8"/>
  <c r="G655" i="8"/>
  <c r="G654" i="8"/>
  <c r="G653" i="8"/>
  <c r="G652" i="8"/>
  <c r="G651" i="8"/>
  <c r="G650" i="8"/>
  <c r="G649" i="8"/>
  <c r="G648" i="8"/>
  <c r="G647" i="8"/>
  <c r="G646" i="8"/>
  <c r="G645" i="8"/>
  <c r="G644" i="8"/>
  <c r="G643" i="8"/>
  <c r="G642" i="8"/>
  <c r="G641" i="8"/>
  <c r="G640" i="8"/>
  <c r="G639" i="8"/>
  <c r="G638" i="8"/>
  <c r="G637" i="8"/>
  <c r="G636" i="8"/>
  <c r="G635" i="8"/>
  <c r="G634" i="8"/>
  <c r="G633" i="8"/>
  <c r="G632" i="8"/>
  <c r="G631" i="8"/>
  <c r="G630" i="8"/>
  <c r="G629" i="8"/>
  <c r="G628" i="8"/>
  <c r="G627" i="8"/>
  <c r="G626" i="8"/>
  <c r="G625" i="8"/>
  <c r="G624" i="8"/>
  <c r="G623" i="8"/>
  <c r="G622" i="8"/>
  <c r="G621" i="8"/>
  <c r="G620" i="8"/>
  <c r="G619" i="8"/>
  <c r="G618" i="8"/>
  <c r="G617" i="8"/>
  <c r="G616" i="8"/>
  <c r="G615" i="8"/>
  <c r="G614" i="8"/>
  <c r="G613" i="8"/>
  <c r="G612" i="8"/>
  <c r="G611" i="8"/>
  <c r="G610" i="8"/>
  <c r="G609" i="8"/>
  <c r="G608" i="8"/>
  <c r="G607" i="8"/>
  <c r="G606" i="8"/>
  <c r="G605" i="8"/>
  <c r="G604" i="8"/>
  <c r="G603" i="8"/>
  <c r="G602" i="8"/>
  <c r="G601" i="8"/>
  <c r="G598" i="8"/>
  <c r="G597" i="8"/>
  <c r="G596" i="8"/>
  <c r="G595" i="8"/>
  <c r="G594" i="8"/>
  <c r="G593" i="8"/>
  <c r="G592" i="8"/>
  <c r="G591" i="8"/>
  <c r="G590" i="8"/>
  <c r="G589" i="8"/>
  <c r="G588" i="8"/>
  <c r="G587" i="8"/>
  <c r="G586" i="8"/>
  <c r="G585" i="8"/>
  <c r="G584" i="8"/>
  <c r="G583" i="8"/>
  <c r="G582" i="8"/>
  <c r="G581" i="8"/>
  <c r="G578" i="8"/>
  <c r="G577" i="8"/>
  <c r="G576" i="8"/>
  <c r="G575" i="8"/>
  <c r="G574" i="8"/>
  <c r="G573" i="8"/>
  <c r="G572" i="8"/>
  <c r="G571" i="8"/>
  <c r="G570" i="8"/>
  <c r="G569" i="8"/>
  <c r="G568" i="8"/>
  <c r="G567" i="8"/>
  <c r="G566" i="8"/>
  <c r="G565" i="8"/>
  <c r="G564" i="8"/>
  <c r="G563" i="8"/>
  <c r="G562" i="8"/>
  <c r="G561" i="8"/>
  <c r="G560" i="8"/>
  <c r="G559" i="8"/>
  <c r="G558" i="8"/>
  <c r="G557" i="8"/>
  <c r="G556" i="8"/>
  <c r="G555" i="8"/>
  <c r="G554" i="8"/>
  <c r="G553" i="8"/>
  <c r="G552" i="8"/>
  <c r="G551" i="8"/>
  <c r="G550" i="8"/>
  <c r="G549" i="8"/>
  <c r="G548" i="8"/>
  <c r="G547" i="8"/>
  <c r="G546" i="8"/>
  <c r="G545" i="8"/>
  <c r="G544" i="8"/>
  <c r="G543" i="8"/>
  <c r="G542" i="8"/>
  <c r="G541" i="8"/>
  <c r="G540" i="8"/>
  <c r="G539" i="8"/>
  <c r="G538" i="8"/>
  <c r="G537" i="8"/>
  <c r="G536" i="8"/>
  <c r="G535" i="8"/>
  <c r="G534" i="8"/>
  <c r="G533" i="8"/>
  <c r="G532" i="8"/>
  <c r="G531" i="8"/>
  <c r="G530" i="8"/>
  <c r="G529" i="8"/>
  <c r="G528" i="8"/>
  <c r="G527" i="8"/>
  <c r="G526" i="8"/>
  <c r="G525" i="8"/>
  <c r="G524" i="8"/>
  <c r="G523" i="8"/>
  <c r="G522" i="8"/>
  <c r="G521" i="8"/>
  <c r="G520" i="8"/>
  <c r="G519" i="8"/>
  <c r="G518" i="8"/>
  <c r="G517" i="8"/>
  <c r="G516" i="8"/>
  <c r="G515" i="8"/>
  <c r="G514" i="8"/>
  <c r="G513" i="8"/>
  <c r="G512" i="8"/>
  <c r="G511" i="8"/>
  <c r="G510" i="8"/>
  <c r="G509" i="8"/>
  <c r="G508" i="8"/>
  <c r="G507" i="8"/>
  <c r="G506" i="8"/>
  <c r="G505" i="8"/>
  <c r="G504" i="8"/>
  <c r="G503" i="8"/>
  <c r="G502" i="8"/>
  <c r="G501" i="8"/>
  <c r="G500" i="8"/>
  <c r="G499" i="8"/>
  <c r="G498" i="8"/>
  <c r="G497" i="8"/>
  <c r="G496" i="8"/>
  <c r="G495" i="8"/>
  <c r="G494" i="8"/>
  <c r="G493" i="8"/>
  <c r="G492" i="8"/>
  <c r="G491" i="8"/>
  <c r="G490" i="8"/>
  <c r="G489" i="8"/>
  <c r="G488" i="8"/>
  <c r="G487" i="8"/>
  <c r="G486" i="8"/>
  <c r="G485" i="8"/>
  <c r="G484" i="8"/>
  <c r="G483" i="8"/>
  <c r="G482" i="8"/>
  <c r="G481" i="8"/>
  <c r="G480" i="8"/>
  <c r="G479" i="8"/>
  <c r="G476" i="8"/>
  <c r="G475" i="8"/>
  <c r="G474" i="8"/>
  <c r="G473" i="8"/>
  <c r="G472" i="8"/>
  <c r="G471" i="8"/>
  <c r="G470" i="8"/>
  <c r="G469" i="8"/>
  <c r="G468" i="8"/>
  <c r="G467" i="8"/>
  <c r="G466" i="8"/>
  <c r="G465" i="8"/>
  <c r="G464" i="8"/>
  <c r="G463" i="8"/>
  <c r="G462" i="8"/>
  <c r="G461" i="8"/>
  <c r="G460" i="8"/>
  <c r="G459" i="8"/>
  <c r="G458" i="8"/>
  <c r="G457" i="8"/>
  <c r="G456" i="8"/>
  <c r="G455" i="8"/>
  <c r="G454" i="8"/>
  <c r="G453" i="8"/>
  <c r="G452" i="8"/>
  <c r="G451" i="8"/>
  <c r="G450" i="8"/>
  <c r="G449" i="8"/>
  <c r="G448" i="8"/>
  <c r="G447" i="8"/>
  <c r="G446" i="8"/>
  <c r="G445" i="8"/>
  <c r="G444" i="8"/>
  <c r="G443" i="8"/>
  <c r="G442" i="8"/>
  <c r="G441" i="8"/>
  <c r="G440" i="8"/>
  <c r="G439" i="8"/>
  <c r="G438" i="8"/>
  <c r="G437" i="8"/>
  <c r="G436" i="8"/>
  <c r="G435" i="8"/>
  <c r="G434" i="8"/>
  <c r="G433" i="8"/>
  <c r="G432" i="8"/>
  <c r="G431" i="8"/>
  <c r="G430" i="8"/>
  <c r="G429" i="8"/>
  <c r="G428" i="8"/>
  <c r="G427" i="8"/>
  <c r="G426" i="8"/>
  <c r="G425" i="8"/>
  <c r="G424" i="8"/>
  <c r="G423" i="8"/>
  <c r="G422" i="8"/>
  <c r="G421" i="8"/>
  <c r="G420" i="8"/>
  <c r="G419" i="8"/>
  <c r="G418" i="8"/>
  <c r="G417" i="8"/>
  <c r="G416" i="8"/>
  <c r="G415" i="8"/>
  <c r="G414" i="8"/>
  <c r="G413" i="8"/>
  <c r="G412" i="8"/>
  <c r="G411" i="8"/>
  <c r="G410" i="8"/>
  <c r="G409" i="8"/>
  <c r="G408" i="8"/>
  <c r="G407" i="8"/>
  <c r="G406" i="8"/>
  <c r="G405" i="8"/>
  <c r="G404" i="8"/>
  <c r="G403" i="8"/>
  <c r="G402" i="8"/>
  <c r="G401" i="8"/>
  <c r="G400" i="8"/>
  <c r="G399" i="8"/>
  <c r="G398" i="8"/>
  <c r="G397" i="8"/>
  <c r="G396" i="8"/>
  <c r="G395" i="8"/>
  <c r="G394" i="8"/>
  <c r="G393" i="8"/>
  <c r="G392" i="8"/>
  <c r="G391" i="8"/>
  <c r="G390" i="8"/>
  <c r="G389" i="8"/>
  <c r="G388" i="8"/>
  <c r="G387" i="8"/>
  <c r="G386" i="8"/>
  <c r="G385" i="8"/>
  <c r="G384" i="8"/>
  <c r="G383" i="8"/>
  <c r="G382" i="8"/>
  <c r="G381" i="8"/>
  <c r="G380" i="8"/>
  <c r="G379" i="8"/>
  <c r="G378" i="8"/>
  <c r="G377" i="8"/>
  <c r="G374" i="8"/>
  <c r="G373" i="8"/>
  <c r="G372" i="8"/>
  <c r="G371" i="8"/>
  <c r="G370" i="8"/>
  <c r="G369" i="8"/>
  <c r="G368" i="8"/>
  <c r="G367" i="8"/>
  <c r="G366" i="8"/>
  <c r="G365" i="8"/>
  <c r="G364" i="8"/>
  <c r="G363" i="8"/>
  <c r="G362" i="8"/>
  <c r="G361" i="8"/>
  <c r="G360" i="8"/>
  <c r="G359" i="8"/>
  <c r="G358" i="8"/>
  <c r="G357" i="8"/>
  <c r="G356" i="8"/>
  <c r="G355" i="8"/>
  <c r="G354" i="8"/>
  <c r="G353" i="8"/>
  <c r="G352" i="8"/>
  <c r="G351" i="8"/>
  <c r="G350" i="8"/>
  <c r="G349" i="8"/>
  <c r="G348" i="8"/>
  <c r="G347" i="8"/>
  <c r="G346" i="8"/>
  <c r="G345" i="8"/>
  <c r="G344" i="8"/>
  <c r="G343" i="8"/>
  <c r="G342" i="8"/>
  <c r="G341" i="8"/>
  <c r="G340" i="8"/>
  <c r="G339" i="8"/>
  <c r="G338" i="8"/>
  <c r="G337" i="8"/>
  <c r="G336" i="8"/>
  <c r="G335" i="8"/>
  <c r="G334" i="8"/>
  <c r="G333" i="8"/>
  <c r="G332" i="8"/>
  <c r="G331" i="8"/>
  <c r="G330" i="8"/>
  <c r="G329" i="8"/>
  <c r="G328" i="8"/>
  <c r="G327" i="8"/>
  <c r="G326" i="8"/>
  <c r="G325" i="8"/>
  <c r="G324" i="8"/>
  <c r="G323" i="8"/>
  <c r="G322" i="8"/>
  <c r="G321" i="8"/>
  <c r="G320" i="8"/>
  <c r="G319" i="8"/>
  <c r="G318" i="8"/>
  <c r="G317" i="8"/>
  <c r="G316" i="8"/>
  <c r="G315" i="8"/>
  <c r="G314" i="8"/>
  <c r="G313" i="8"/>
  <c r="G312" i="8"/>
  <c r="G311" i="8"/>
  <c r="G307" i="8"/>
  <c r="G306" i="8"/>
  <c r="G305" i="8"/>
  <c r="G304" i="8"/>
  <c r="G303" i="8"/>
  <c r="G302" i="8"/>
  <c r="G301" i="8"/>
  <c r="G300" i="8"/>
  <c r="G299" i="8"/>
  <c r="G298" i="8"/>
  <c r="G297" i="8"/>
  <c r="G296" i="8"/>
  <c r="G295" i="8"/>
  <c r="G294" i="8"/>
  <c r="G293" i="8"/>
  <c r="G292" i="8"/>
  <c r="G291" i="8"/>
  <c r="G290" i="8"/>
  <c r="G289" i="8"/>
  <c r="G288" i="8"/>
  <c r="G287" i="8"/>
  <c r="G286" i="8"/>
  <c r="G285" i="8"/>
  <c r="G284" i="8"/>
  <c r="G283" i="8"/>
  <c r="G282" i="8"/>
  <c r="G281" i="8"/>
  <c r="G280" i="8"/>
  <c r="G279" i="8"/>
  <c r="G278" i="8"/>
  <c r="G277" i="8"/>
  <c r="G276" i="8"/>
  <c r="G275" i="8"/>
  <c r="G274" i="8"/>
  <c r="G273" i="8"/>
  <c r="G272" i="8"/>
  <c r="G271" i="8"/>
  <c r="G270" i="8"/>
  <c r="G269" i="8"/>
  <c r="G268" i="8"/>
  <c r="G267" i="8"/>
  <c r="G266" i="8"/>
  <c r="G265" i="8"/>
  <c r="G264" i="8"/>
  <c r="G263" i="8"/>
  <c r="G262" i="8"/>
  <c r="G261" i="8"/>
  <c r="G260" i="8"/>
  <c r="G259" i="8"/>
  <c r="G258" i="8"/>
  <c r="G257" i="8"/>
  <c r="G256" i="8"/>
  <c r="G255" i="8"/>
  <c r="G254" i="8"/>
  <c r="G253" i="8"/>
  <c r="G252" i="8"/>
  <c r="G251" i="8"/>
  <c r="G250" i="8"/>
  <c r="G249" i="8"/>
  <c r="G248" i="8"/>
  <c r="G247" i="8"/>
  <c r="G246" i="8"/>
  <c r="G245" i="8"/>
  <c r="G244" i="8"/>
  <c r="G243" i="8"/>
  <c r="G242" i="8"/>
  <c r="G241" i="8"/>
  <c r="G240" i="8"/>
  <c r="G239" i="8"/>
  <c r="G238" i="8"/>
  <c r="G237" i="8"/>
  <c r="G236" i="8"/>
  <c r="G235" i="8"/>
  <c r="G234" i="8"/>
  <c r="G233" i="8"/>
  <c r="G232" i="8"/>
  <c r="G231" i="8"/>
  <c r="G230" i="8"/>
  <c r="G229" i="8"/>
  <c r="G228" i="8"/>
  <c r="G227" i="8"/>
  <c r="G226" i="8"/>
  <c r="G225" i="8"/>
  <c r="G224" i="8"/>
  <c r="G223" i="8"/>
  <c r="G222" i="8"/>
  <c r="G221" i="8"/>
  <c r="G220" i="8"/>
  <c r="G219" i="8"/>
  <c r="G218" i="8"/>
  <c r="G217" i="8"/>
  <c r="G216" i="8"/>
  <c r="G215" i="8"/>
  <c r="G214" i="8"/>
  <c r="G213" i="8"/>
  <c r="G212" i="8"/>
  <c r="G211" i="8"/>
  <c r="G210" i="8"/>
  <c r="G209" i="8"/>
  <c r="G208" i="8"/>
  <c r="G205" i="8"/>
  <c r="G204" i="8"/>
  <c r="G203" i="8"/>
  <c r="G202" i="8"/>
  <c r="G201" i="8"/>
  <c r="G200" i="8"/>
  <c r="G199" i="8"/>
  <c r="G198" i="8"/>
  <c r="G197" i="8"/>
  <c r="G196" i="8"/>
  <c r="G195" i="8"/>
  <c r="G194" i="8"/>
  <c r="G193" i="8"/>
  <c r="G192" i="8"/>
  <c r="G191" i="8"/>
  <c r="G190" i="8"/>
  <c r="G189" i="8"/>
  <c r="G188" i="8"/>
  <c r="G187" i="8"/>
  <c r="G186" i="8"/>
  <c r="G185" i="8"/>
  <c r="G184" i="8"/>
  <c r="G183" i="8"/>
  <c r="G182" i="8"/>
  <c r="G181" i="8"/>
  <c r="G180" i="8"/>
  <c r="G179" i="8"/>
  <c r="G178" i="8"/>
  <c r="G177" i="8"/>
  <c r="G176" i="8"/>
  <c r="G175" i="8"/>
  <c r="G174" i="8"/>
  <c r="G173" i="8"/>
  <c r="G172" i="8"/>
  <c r="G171" i="8"/>
  <c r="G170" i="8"/>
  <c r="G169" i="8"/>
  <c r="G168" i="8"/>
  <c r="G167" i="8"/>
  <c r="G166" i="8"/>
  <c r="G165" i="8"/>
  <c r="G164" i="8"/>
  <c r="G163" i="8"/>
  <c r="G162" i="8"/>
  <c r="G161" i="8"/>
  <c r="G160" i="8"/>
  <c r="G159" i="8"/>
  <c r="G158" i="8"/>
  <c r="G157" i="8"/>
  <c r="G156" i="8"/>
  <c r="G155" i="8"/>
  <c r="G154" i="8"/>
  <c r="G153" i="8"/>
  <c r="G152" i="8"/>
  <c r="G151" i="8"/>
  <c r="G150" i="8"/>
  <c r="G149" i="8"/>
  <c r="G148" i="8"/>
  <c r="G147" i="8"/>
  <c r="G146" i="8"/>
  <c r="G145" i="8"/>
  <c r="G144" i="8"/>
  <c r="G143" i="8"/>
  <c r="G142" i="8"/>
  <c r="G141" i="8"/>
  <c r="G140" i="8"/>
  <c r="G139" i="8"/>
  <c r="G138" i="8"/>
  <c r="G137" i="8"/>
  <c r="G136" i="8"/>
  <c r="G135" i="8"/>
  <c r="G134" i="8"/>
  <c r="G133" i="8"/>
  <c r="G132" i="8"/>
  <c r="G131" i="8"/>
  <c r="G130" i="8"/>
  <c r="G129" i="8"/>
  <c r="G128" i="8"/>
  <c r="G127" i="8"/>
  <c r="G126" i="8"/>
  <c r="G125" i="8"/>
  <c r="G124" i="8"/>
  <c r="G123" i="8"/>
  <c r="G122" i="8"/>
  <c r="G121" i="8"/>
  <c r="G120" i="8"/>
  <c r="G119" i="8"/>
  <c r="G118" i="8"/>
  <c r="G117" i="8"/>
  <c r="G116" i="8"/>
  <c r="G115" i="8"/>
  <c r="G114" i="8"/>
  <c r="G113" i="8"/>
  <c r="G112" i="8"/>
  <c r="G111" i="8"/>
  <c r="G110" i="8"/>
  <c r="G109" i="8"/>
  <c r="G108" i="8"/>
  <c r="G107" i="8"/>
  <c r="G106" i="8"/>
  <c r="G103" i="8"/>
  <c r="G102" i="8"/>
  <c r="G101" i="8"/>
  <c r="G100" i="8"/>
  <c r="G99" i="8"/>
  <c r="G98" i="8"/>
  <c r="G97" i="8"/>
  <c r="G96" i="8"/>
  <c r="G95" i="8"/>
  <c r="G94" i="8"/>
  <c r="G93" i="8"/>
  <c r="G92" i="8"/>
  <c r="G91" i="8"/>
  <c r="G90" i="8"/>
  <c r="G89" i="8"/>
  <c r="G88" i="8"/>
  <c r="G87" i="8"/>
  <c r="G86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G986" i="7"/>
  <c r="G985" i="7"/>
  <c r="G984" i="7"/>
  <c r="G983" i="7"/>
  <c r="G982" i="7"/>
  <c r="G981" i="7"/>
  <c r="G980" i="7"/>
  <c r="G979" i="7"/>
  <c r="G978" i="7"/>
  <c r="G977" i="7"/>
  <c r="G976" i="7"/>
  <c r="G975" i="7"/>
  <c r="G974" i="7"/>
  <c r="G973" i="7"/>
  <c r="G972" i="7"/>
  <c r="G971" i="7"/>
  <c r="G970" i="7"/>
  <c r="G969" i="7"/>
  <c r="G968" i="7"/>
  <c r="G967" i="7"/>
  <c r="G966" i="7"/>
  <c r="G965" i="7"/>
  <c r="G964" i="7"/>
  <c r="G963" i="7"/>
  <c r="G962" i="7"/>
  <c r="G961" i="7"/>
  <c r="G960" i="7"/>
  <c r="G959" i="7"/>
  <c r="G958" i="7"/>
  <c r="G957" i="7"/>
  <c r="G956" i="7"/>
  <c r="G955" i="7"/>
  <c r="G954" i="7"/>
  <c r="G953" i="7"/>
  <c r="G952" i="7"/>
  <c r="G951" i="7"/>
  <c r="G950" i="7"/>
  <c r="G949" i="7"/>
  <c r="G948" i="7"/>
  <c r="G947" i="7"/>
  <c r="G946" i="7"/>
  <c r="G945" i="7"/>
  <c r="G944" i="7"/>
  <c r="G943" i="7"/>
  <c r="G942" i="7"/>
  <c r="G941" i="7"/>
  <c r="G940" i="7"/>
  <c r="G939" i="7"/>
  <c r="G938" i="7"/>
  <c r="G937" i="7"/>
  <c r="G936" i="7"/>
  <c r="G935" i="7"/>
  <c r="G934" i="7"/>
  <c r="G933" i="7"/>
  <c r="G932" i="7"/>
  <c r="G931" i="7"/>
  <c r="G930" i="7"/>
  <c r="G929" i="7"/>
  <c r="G928" i="7"/>
  <c r="G927" i="7"/>
  <c r="G926" i="7"/>
  <c r="G925" i="7"/>
  <c r="G924" i="7"/>
  <c r="G923" i="7"/>
  <c r="G922" i="7"/>
  <c r="G921" i="7"/>
  <c r="G920" i="7"/>
  <c r="G919" i="7"/>
  <c r="G918" i="7"/>
  <c r="G917" i="7"/>
  <c r="G916" i="7"/>
  <c r="G915" i="7"/>
  <c r="G914" i="7"/>
  <c r="G913" i="7"/>
  <c r="G912" i="7"/>
  <c r="G911" i="7"/>
  <c r="G910" i="7"/>
  <c r="G909" i="7"/>
  <c r="G908" i="7"/>
  <c r="G907" i="7"/>
  <c r="G906" i="7"/>
  <c r="G905" i="7"/>
  <c r="G904" i="7"/>
  <c r="G903" i="7"/>
  <c r="G902" i="7"/>
  <c r="G901" i="7"/>
  <c r="G900" i="7"/>
  <c r="G899" i="7"/>
  <c r="G898" i="7"/>
  <c r="G897" i="7"/>
  <c r="G896" i="7"/>
  <c r="G895" i="7"/>
  <c r="G894" i="7"/>
  <c r="G893" i="7"/>
  <c r="G892" i="7"/>
  <c r="G891" i="7"/>
  <c r="G890" i="7"/>
  <c r="G889" i="7"/>
  <c r="G888" i="7"/>
  <c r="G887" i="7"/>
  <c r="G884" i="7"/>
  <c r="G883" i="7"/>
  <c r="G882" i="7"/>
  <c r="G881" i="7"/>
  <c r="G880" i="7"/>
  <c r="G879" i="7"/>
  <c r="G878" i="7"/>
  <c r="G877" i="7"/>
  <c r="G876" i="7"/>
  <c r="G875" i="7"/>
  <c r="G874" i="7"/>
  <c r="G873" i="7"/>
  <c r="G872" i="7"/>
  <c r="G871" i="7"/>
  <c r="G870" i="7"/>
  <c r="G869" i="7"/>
  <c r="G868" i="7"/>
  <c r="G867" i="7"/>
  <c r="G866" i="7"/>
  <c r="G865" i="7"/>
  <c r="G864" i="7"/>
  <c r="G863" i="7"/>
  <c r="G862" i="7"/>
  <c r="G861" i="7"/>
  <c r="G860" i="7"/>
  <c r="G859" i="7"/>
  <c r="G858" i="7"/>
  <c r="G857" i="7"/>
  <c r="G856" i="7"/>
  <c r="G855" i="7"/>
  <c r="G854" i="7"/>
  <c r="G853" i="7"/>
  <c r="G852" i="7"/>
  <c r="G851" i="7"/>
  <c r="G850" i="7"/>
  <c r="G849" i="7"/>
  <c r="G848" i="7"/>
  <c r="G847" i="7"/>
  <c r="G846" i="7"/>
  <c r="G845" i="7"/>
  <c r="G844" i="7"/>
  <c r="G843" i="7"/>
  <c r="G842" i="7"/>
  <c r="G841" i="7"/>
  <c r="G840" i="7"/>
  <c r="G839" i="7"/>
  <c r="G838" i="7"/>
  <c r="G837" i="7"/>
  <c r="G836" i="7"/>
  <c r="G835" i="7"/>
  <c r="G834" i="7"/>
  <c r="G833" i="7"/>
  <c r="G832" i="7"/>
  <c r="G831" i="7"/>
  <c r="G830" i="7"/>
  <c r="G829" i="7"/>
  <c r="G828" i="7"/>
  <c r="G827" i="7"/>
  <c r="G826" i="7"/>
  <c r="G825" i="7"/>
  <c r="G824" i="7"/>
  <c r="G823" i="7"/>
  <c r="G822" i="7"/>
  <c r="G821" i="7"/>
  <c r="G820" i="7"/>
  <c r="G819" i="7"/>
  <c r="G818" i="7"/>
  <c r="G817" i="7"/>
  <c r="G816" i="7"/>
  <c r="G815" i="7"/>
  <c r="G814" i="7"/>
  <c r="G813" i="7"/>
  <c r="G812" i="7"/>
  <c r="G811" i="7"/>
  <c r="G810" i="7"/>
  <c r="G809" i="7"/>
  <c r="G808" i="7"/>
  <c r="G807" i="7"/>
  <c r="G806" i="7"/>
  <c r="G805" i="7"/>
  <c r="G804" i="7"/>
  <c r="G803" i="7"/>
  <c r="G802" i="7"/>
  <c r="G801" i="7"/>
  <c r="G800" i="7"/>
  <c r="G799" i="7"/>
  <c r="G798" i="7"/>
  <c r="G797" i="7"/>
  <c r="G796" i="7"/>
  <c r="G795" i="7"/>
  <c r="G794" i="7"/>
  <c r="G793" i="7"/>
  <c r="G792" i="7"/>
  <c r="G791" i="7"/>
  <c r="G790" i="7"/>
  <c r="G789" i="7"/>
  <c r="G788" i="7"/>
  <c r="G787" i="7"/>
  <c r="G786" i="7"/>
  <c r="G785" i="7"/>
  <c r="G782" i="7"/>
  <c r="G781" i="7"/>
  <c r="G780" i="7"/>
  <c r="G779" i="7"/>
  <c r="G778" i="7"/>
  <c r="G777" i="7"/>
  <c r="G776" i="7"/>
  <c r="G775" i="7"/>
  <c r="G774" i="7"/>
  <c r="G773" i="7"/>
  <c r="G772" i="7"/>
  <c r="G771" i="7"/>
  <c r="G770" i="7"/>
  <c r="G769" i="7"/>
  <c r="G768" i="7"/>
  <c r="G767" i="7"/>
  <c r="G766" i="7"/>
  <c r="G765" i="7"/>
  <c r="G764" i="7"/>
  <c r="G763" i="7"/>
  <c r="G762" i="7"/>
  <c r="G761" i="7"/>
  <c r="G760" i="7"/>
  <c r="G759" i="7"/>
  <c r="G758" i="7"/>
  <c r="G757" i="7"/>
  <c r="G756" i="7"/>
  <c r="G755" i="7"/>
  <c r="G754" i="7"/>
  <c r="G753" i="7"/>
  <c r="G752" i="7"/>
  <c r="G751" i="7"/>
  <c r="G750" i="7"/>
  <c r="G749" i="7"/>
  <c r="G748" i="7"/>
  <c r="G747" i="7"/>
  <c r="G746" i="7"/>
  <c r="G745" i="7"/>
  <c r="G744" i="7"/>
  <c r="G743" i="7"/>
  <c r="G742" i="7"/>
  <c r="G741" i="7"/>
  <c r="G740" i="7"/>
  <c r="G739" i="7"/>
  <c r="G738" i="7"/>
  <c r="G737" i="7"/>
  <c r="G736" i="7"/>
  <c r="G735" i="7"/>
  <c r="G734" i="7"/>
  <c r="G733" i="7"/>
  <c r="G732" i="7"/>
  <c r="G731" i="7"/>
  <c r="G730" i="7"/>
  <c r="G729" i="7"/>
  <c r="G728" i="7"/>
  <c r="G727" i="7"/>
  <c r="G726" i="7"/>
  <c r="G725" i="7"/>
  <c r="G724" i="7"/>
  <c r="G723" i="7"/>
  <c r="G722" i="7"/>
  <c r="G721" i="7"/>
  <c r="G720" i="7"/>
  <c r="G719" i="7"/>
  <c r="G718" i="7"/>
  <c r="G717" i="7"/>
  <c r="G716" i="7"/>
  <c r="G715" i="7"/>
  <c r="G714" i="7"/>
  <c r="G713" i="7"/>
  <c r="G712" i="7"/>
  <c r="G711" i="7"/>
  <c r="G710" i="7"/>
  <c r="G709" i="7"/>
  <c r="G708" i="7"/>
  <c r="G707" i="7"/>
  <c r="G706" i="7"/>
  <c r="G705" i="7"/>
  <c r="G704" i="7"/>
  <c r="G703" i="7"/>
  <c r="G702" i="7"/>
  <c r="G701" i="7"/>
  <c r="G700" i="7"/>
  <c r="G699" i="7"/>
  <c r="G698" i="7"/>
  <c r="G697" i="7"/>
  <c r="G696" i="7"/>
  <c r="G695" i="7"/>
  <c r="G694" i="7"/>
  <c r="G693" i="7"/>
  <c r="G692" i="7"/>
  <c r="G691" i="7"/>
  <c r="G690" i="7"/>
  <c r="G689" i="7"/>
  <c r="G688" i="7"/>
  <c r="G687" i="7"/>
  <c r="G686" i="7"/>
  <c r="G685" i="7"/>
  <c r="G684" i="7"/>
  <c r="G683" i="7"/>
  <c r="G680" i="7"/>
  <c r="G679" i="7"/>
  <c r="G678" i="7"/>
  <c r="G677" i="7"/>
  <c r="G676" i="7"/>
  <c r="G675" i="7"/>
  <c r="G674" i="7"/>
  <c r="G673" i="7"/>
  <c r="G672" i="7"/>
  <c r="G671" i="7"/>
  <c r="G670" i="7"/>
  <c r="G669" i="7"/>
  <c r="G668" i="7"/>
  <c r="G667" i="7"/>
  <c r="G666" i="7"/>
  <c r="G665" i="7"/>
  <c r="G664" i="7"/>
  <c r="G663" i="7"/>
  <c r="G662" i="7"/>
  <c r="G661" i="7"/>
  <c r="G660" i="7"/>
  <c r="G659" i="7"/>
  <c r="G658" i="7"/>
  <c r="G657" i="7"/>
  <c r="G656" i="7"/>
  <c r="G655" i="7"/>
  <c r="G654" i="7"/>
  <c r="G653" i="7"/>
  <c r="G652" i="7"/>
  <c r="G651" i="7"/>
  <c r="G650" i="7"/>
  <c r="G649" i="7"/>
  <c r="G648" i="7"/>
  <c r="G647" i="7"/>
  <c r="G646" i="7"/>
  <c r="G645" i="7"/>
  <c r="G644" i="7"/>
  <c r="G643" i="7"/>
  <c r="G642" i="7"/>
  <c r="G641" i="7"/>
  <c r="G640" i="7"/>
  <c r="G639" i="7"/>
  <c r="G638" i="7"/>
  <c r="G637" i="7"/>
  <c r="G636" i="7"/>
  <c r="G635" i="7"/>
  <c r="G634" i="7"/>
  <c r="G633" i="7"/>
  <c r="G632" i="7"/>
  <c r="G631" i="7"/>
  <c r="G630" i="7"/>
  <c r="G629" i="7"/>
  <c r="G628" i="7"/>
  <c r="G627" i="7"/>
  <c r="G626" i="7"/>
  <c r="G625" i="7"/>
  <c r="G624" i="7"/>
  <c r="G623" i="7"/>
  <c r="G622" i="7"/>
  <c r="G621" i="7"/>
  <c r="G620" i="7"/>
  <c r="G619" i="7"/>
  <c r="G618" i="7"/>
  <c r="G617" i="7"/>
  <c r="G614" i="7"/>
  <c r="G613" i="7"/>
  <c r="G612" i="7"/>
  <c r="G611" i="7"/>
  <c r="G610" i="7"/>
  <c r="G609" i="7"/>
  <c r="G608" i="7"/>
  <c r="G607" i="7"/>
  <c r="G606" i="7"/>
  <c r="G605" i="7"/>
  <c r="G604" i="7"/>
  <c r="G603" i="7"/>
  <c r="G602" i="7"/>
  <c r="G601" i="7"/>
  <c r="G600" i="7"/>
  <c r="G599" i="7"/>
  <c r="G598" i="7"/>
  <c r="G597" i="7"/>
  <c r="G596" i="7"/>
  <c r="G595" i="7"/>
  <c r="G594" i="7"/>
  <c r="G593" i="7"/>
  <c r="G592" i="7"/>
  <c r="G591" i="7"/>
  <c r="G590" i="7"/>
  <c r="G589" i="7"/>
  <c r="G588" i="7"/>
  <c r="G587" i="7"/>
  <c r="G586" i="7"/>
  <c r="G585" i="7"/>
  <c r="G584" i="7"/>
  <c r="G583" i="7"/>
  <c r="G582" i="7"/>
  <c r="G581" i="7"/>
  <c r="G580" i="7"/>
  <c r="G579" i="7"/>
  <c r="G578" i="7"/>
  <c r="G577" i="7"/>
  <c r="G576" i="7"/>
  <c r="G575" i="7"/>
  <c r="G574" i="7"/>
  <c r="G573" i="7"/>
  <c r="G572" i="7"/>
  <c r="G571" i="7"/>
  <c r="G570" i="7"/>
  <c r="G569" i="7"/>
  <c r="G568" i="7"/>
  <c r="G567" i="7"/>
  <c r="G566" i="7"/>
  <c r="G565" i="7"/>
  <c r="G564" i="7"/>
  <c r="G563" i="7"/>
  <c r="G562" i="7"/>
  <c r="G561" i="7"/>
  <c r="G560" i="7"/>
  <c r="G559" i="7"/>
  <c r="G558" i="7"/>
  <c r="G557" i="7"/>
  <c r="G556" i="7"/>
  <c r="G555" i="7"/>
  <c r="G554" i="7"/>
  <c r="G553" i="7"/>
  <c r="G552" i="7"/>
  <c r="G551" i="7"/>
  <c r="G550" i="7"/>
  <c r="G549" i="7"/>
  <c r="G548" i="7"/>
  <c r="G547" i="7"/>
  <c r="G546" i="7"/>
  <c r="G545" i="7"/>
  <c r="G544" i="7"/>
  <c r="G543" i="7"/>
  <c r="G542" i="7"/>
  <c r="G541" i="7"/>
  <c r="G540" i="7"/>
  <c r="G539" i="7"/>
  <c r="G538" i="7"/>
  <c r="G537" i="7"/>
  <c r="G536" i="7"/>
  <c r="G535" i="7"/>
  <c r="G534" i="7"/>
  <c r="G533" i="7"/>
  <c r="G532" i="7"/>
  <c r="G531" i="7"/>
  <c r="G530" i="7"/>
  <c r="G529" i="7"/>
  <c r="G528" i="7"/>
  <c r="G527" i="7"/>
  <c r="G526" i="7"/>
  <c r="G525" i="7"/>
  <c r="G524" i="7"/>
  <c r="G523" i="7"/>
  <c r="G522" i="7"/>
  <c r="G521" i="7"/>
  <c r="G520" i="7"/>
  <c r="G519" i="7"/>
  <c r="G518" i="7"/>
  <c r="G517" i="7"/>
  <c r="G516" i="7"/>
  <c r="G515" i="7"/>
  <c r="G512" i="7"/>
  <c r="G511" i="7"/>
  <c r="G510" i="7"/>
  <c r="G509" i="7"/>
  <c r="G508" i="7"/>
  <c r="G507" i="7"/>
  <c r="G506" i="7"/>
  <c r="G505" i="7"/>
  <c r="G504" i="7"/>
  <c r="G503" i="7"/>
  <c r="G502" i="7"/>
  <c r="G501" i="7"/>
  <c r="G500" i="7"/>
  <c r="G499" i="7"/>
  <c r="G498" i="7"/>
  <c r="G497" i="7"/>
  <c r="G496" i="7"/>
  <c r="G495" i="7"/>
  <c r="G494" i="7"/>
  <c r="G493" i="7"/>
  <c r="G492" i="7"/>
  <c r="G491" i="7"/>
  <c r="G490" i="7"/>
  <c r="G489" i="7"/>
  <c r="G488" i="7"/>
  <c r="G487" i="7"/>
  <c r="G486" i="7"/>
  <c r="G485" i="7"/>
  <c r="G484" i="7"/>
  <c r="G483" i="7"/>
  <c r="G482" i="7"/>
  <c r="G481" i="7"/>
  <c r="G480" i="7"/>
  <c r="G479" i="7"/>
  <c r="G478" i="7"/>
  <c r="G477" i="7"/>
  <c r="G476" i="7"/>
  <c r="G475" i="7"/>
  <c r="G474" i="7"/>
  <c r="G473" i="7"/>
  <c r="G472" i="7"/>
  <c r="G471" i="7"/>
  <c r="G470" i="7"/>
  <c r="G469" i="7"/>
  <c r="G468" i="7"/>
  <c r="G467" i="7"/>
  <c r="G466" i="7"/>
  <c r="G465" i="7"/>
  <c r="G464" i="7"/>
  <c r="G463" i="7"/>
  <c r="G462" i="7"/>
  <c r="G461" i="7"/>
  <c r="G460" i="7"/>
  <c r="G459" i="7"/>
  <c r="G458" i="7"/>
  <c r="G457" i="7"/>
  <c r="G456" i="7"/>
  <c r="G455" i="7"/>
  <c r="G454" i="7"/>
  <c r="G453" i="7"/>
  <c r="G452" i="7"/>
  <c r="G451" i="7"/>
  <c r="G450" i="7"/>
  <c r="G449" i="7"/>
  <c r="G448" i="7"/>
  <c r="G447" i="7"/>
  <c r="G446" i="7"/>
  <c r="G445" i="7"/>
  <c r="G444" i="7"/>
  <c r="G443" i="7"/>
  <c r="G442" i="7"/>
  <c r="G441" i="7"/>
  <c r="G440" i="7"/>
  <c r="G439" i="7"/>
  <c r="G438" i="7"/>
  <c r="G437" i="7"/>
  <c r="G436" i="7"/>
  <c r="G435" i="7"/>
  <c r="G434" i="7"/>
  <c r="G433" i="7"/>
  <c r="G432" i="7"/>
  <c r="G431" i="7"/>
  <c r="G430" i="7"/>
  <c r="G429" i="7"/>
  <c r="G428" i="7"/>
  <c r="G427" i="7"/>
  <c r="G426" i="7"/>
  <c r="G425" i="7"/>
  <c r="G424" i="7"/>
  <c r="G423" i="7"/>
  <c r="G422" i="7"/>
  <c r="G421" i="7"/>
  <c r="G420" i="7"/>
  <c r="G419" i="7"/>
  <c r="G418" i="7"/>
  <c r="G417" i="7"/>
  <c r="G416" i="7"/>
  <c r="G415" i="7"/>
  <c r="G414" i="7"/>
  <c r="G413" i="7"/>
  <c r="G409" i="7"/>
  <c r="G408" i="7"/>
  <c r="G407" i="7"/>
  <c r="G406" i="7"/>
  <c r="G405" i="7"/>
  <c r="G404" i="7"/>
  <c r="G403" i="7"/>
  <c r="G402" i="7"/>
  <c r="G401" i="7"/>
  <c r="G400" i="7"/>
  <c r="G399" i="7"/>
  <c r="G398" i="7"/>
  <c r="G397" i="7"/>
  <c r="G396" i="7"/>
  <c r="G395" i="7"/>
  <c r="G394" i="7"/>
  <c r="G393" i="7"/>
  <c r="G392" i="7"/>
  <c r="G391" i="7"/>
  <c r="G390" i="7"/>
  <c r="G389" i="7"/>
  <c r="G388" i="7"/>
  <c r="G387" i="7"/>
  <c r="G386" i="7"/>
  <c r="G385" i="7"/>
  <c r="G384" i="7"/>
  <c r="G383" i="7"/>
  <c r="G382" i="7"/>
  <c r="G381" i="7"/>
  <c r="G380" i="7"/>
  <c r="G379" i="7"/>
  <c r="G378" i="7"/>
  <c r="G377" i="7"/>
  <c r="G376" i="7"/>
  <c r="G375" i="7"/>
  <c r="G374" i="7"/>
  <c r="G373" i="7"/>
  <c r="G372" i="7"/>
  <c r="G371" i="7"/>
  <c r="G370" i="7"/>
  <c r="G369" i="7"/>
  <c r="G368" i="7"/>
  <c r="G367" i="7"/>
  <c r="G366" i="7"/>
  <c r="G365" i="7"/>
  <c r="G364" i="7"/>
  <c r="G363" i="7"/>
  <c r="G362" i="7"/>
  <c r="G361" i="7"/>
  <c r="G360" i="7"/>
  <c r="G359" i="7"/>
  <c r="G358" i="7"/>
  <c r="G357" i="7"/>
  <c r="G356" i="7"/>
  <c r="G355" i="7"/>
  <c r="G354" i="7"/>
  <c r="G353" i="7"/>
  <c r="G352" i="7"/>
  <c r="G351" i="7"/>
  <c r="G350" i="7"/>
  <c r="G349" i="7"/>
  <c r="G348" i="7"/>
  <c r="G347" i="7"/>
  <c r="G346" i="7"/>
  <c r="G345" i="7"/>
  <c r="G344" i="7"/>
  <c r="G343" i="7"/>
  <c r="G342" i="7"/>
  <c r="G341" i="7"/>
  <c r="G340" i="7"/>
  <c r="G339" i="7"/>
  <c r="G338" i="7"/>
  <c r="G337" i="7"/>
  <c r="G336" i="7"/>
  <c r="G335" i="7"/>
  <c r="G334" i="7"/>
  <c r="G333" i="7"/>
  <c r="G332" i="7"/>
  <c r="G331" i="7"/>
  <c r="G330" i="7"/>
  <c r="G329" i="7"/>
  <c r="G328" i="7"/>
  <c r="G327" i="7"/>
  <c r="G326" i="7"/>
  <c r="G325" i="7"/>
  <c r="G324" i="7"/>
  <c r="G323" i="7"/>
  <c r="G322" i="7"/>
  <c r="G321" i="7"/>
  <c r="G320" i="7"/>
  <c r="G319" i="7"/>
  <c r="G318" i="7"/>
  <c r="G317" i="7"/>
  <c r="G316" i="7"/>
  <c r="G315" i="7"/>
  <c r="G314" i="7"/>
  <c r="G313" i="7"/>
  <c r="G312" i="7"/>
  <c r="G311" i="7"/>
  <c r="G310" i="7"/>
  <c r="G307" i="7"/>
  <c r="G306" i="7"/>
  <c r="G305" i="7"/>
  <c r="G304" i="7"/>
  <c r="G303" i="7"/>
  <c r="G302" i="7"/>
  <c r="G301" i="7"/>
  <c r="G300" i="7"/>
  <c r="G299" i="7"/>
  <c r="G298" i="7"/>
  <c r="G297" i="7"/>
  <c r="G296" i="7"/>
  <c r="G295" i="7"/>
  <c r="G294" i="7"/>
  <c r="G293" i="7"/>
  <c r="G292" i="7"/>
  <c r="G291" i="7"/>
  <c r="G290" i="7"/>
  <c r="G289" i="7"/>
  <c r="G288" i="7"/>
  <c r="G287" i="7"/>
  <c r="G286" i="7"/>
  <c r="G285" i="7"/>
  <c r="G284" i="7"/>
  <c r="G283" i="7"/>
  <c r="G282" i="7"/>
  <c r="G281" i="7"/>
  <c r="G280" i="7"/>
  <c r="G279" i="7"/>
  <c r="G278" i="7"/>
  <c r="G277" i="7"/>
  <c r="G276" i="7"/>
  <c r="G275" i="7"/>
  <c r="G274" i="7"/>
  <c r="G273" i="7"/>
  <c r="G272" i="7"/>
  <c r="G271" i="7"/>
  <c r="G270" i="7"/>
  <c r="G269" i="7"/>
  <c r="G268" i="7"/>
  <c r="G267" i="7"/>
  <c r="G266" i="7"/>
  <c r="G265" i="7"/>
  <c r="G264" i="7"/>
  <c r="G263" i="7"/>
  <c r="G262" i="7"/>
  <c r="G261" i="7"/>
  <c r="G260" i="7"/>
  <c r="G259" i="7"/>
  <c r="G258" i="7"/>
  <c r="G257" i="7"/>
  <c r="G256" i="7"/>
  <c r="G255" i="7"/>
  <c r="G254" i="7"/>
  <c r="G253" i="7"/>
  <c r="G252" i="7"/>
  <c r="G251" i="7"/>
  <c r="G250" i="7"/>
  <c r="G249" i="7"/>
  <c r="G248" i="7"/>
  <c r="G247" i="7"/>
  <c r="G246" i="7"/>
  <c r="G245" i="7"/>
  <c r="G244" i="7"/>
  <c r="G243" i="7"/>
  <c r="G242" i="7"/>
  <c r="G241" i="7"/>
  <c r="G240" i="7"/>
  <c r="G239" i="7"/>
  <c r="G238" i="7"/>
  <c r="G237" i="7"/>
  <c r="G236" i="7"/>
  <c r="G235" i="7"/>
  <c r="G234" i="7"/>
  <c r="G233" i="7"/>
  <c r="G232" i="7"/>
  <c r="G231" i="7"/>
  <c r="G230" i="7"/>
  <c r="G229" i="7"/>
  <c r="G228" i="7"/>
  <c r="G227" i="7"/>
  <c r="G226" i="7"/>
  <c r="G225" i="7"/>
  <c r="G224" i="7"/>
  <c r="G223" i="7"/>
  <c r="G222" i="7"/>
  <c r="G221" i="7"/>
  <c r="G220" i="7"/>
  <c r="G219" i="7"/>
  <c r="G218" i="7"/>
  <c r="G217" i="7"/>
  <c r="G216" i="7"/>
  <c r="G215" i="7"/>
  <c r="G214" i="7"/>
  <c r="G213" i="7"/>
  <c r="G212" i="7"/>
  <c r="G211" i="7"/>
  <c r="G210" i="7"/>
  <c r="G209" i="7"/>
  <c r="G208" i="7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273" i="6"/>
  <c r="G272" i="6"/>
  <c r="G271" i="6"/>
  <c r="G270" i="6"/>
  <c r="G269" i="6"/>
  <c r="G268" i="6"/>
  <c r="G267" i="6"/>
  <c r="G266" i="6"/>
  <c r="G265" i="6"/>
  <c r="G264" i="6"/>
  <c r="G263" i="6"/>
  <c r="G262" i="6"/>
  <c r="G261" i="6"/>
  <c r="G260" i="6"/>
  <c r="G259" i="6"/>
  <c r="G258" i="6"/>
  <c r="G257" i="6"/>
  <c r="G256" i="6"/>
  <c r="G255" i="6"/>
  <c r="G254" i="6"/>
  <c r="G253" i="6"/>
  <c r="G252" i="6"/>
  <c r="G251" i="6"/>
  <c r="G250" i="6"/>
  <c r="G249" i="6"/>
  <c r="G248" i="6"/>
  <c r="G247" i="6"/>
  <c r="G246" i="6"/>
  <c r="G245" i="6"/>
  <c r="G244" i="6"/>
  <c r="G243" i="6"/>
  <c r="G242" i="6"/>
  <c r="G241" i="6"/>
  <c r="G240" i="6"/>
  <c r="G239" i="6"/>
  <c r="G238" i="6"/>
  <c r="G237" i="6"/>
  <c r="G236" i="6"/>
  <c r="G235" i="6"/>
  <c r="G234" i="6"/>
  <c r="G233" i="6"/>
  <c r="G232" i="6"/>
  <c r="G231" i="6"/>
  <c r="G230" i="6"/>
  <c r="G229" i="6"/>
  <c r="G228" i="6"/>
  <c r="G227" i="6"/>
  <c r="G226" i="6"/>
  <c r="G225" i="6"/>
  <c r="G224" i="6"/>
  <c r="G223" i="6"/>
  <c r="G222" i="6"/>
  <c r="G221" i="6"/>
  <c r="G220" i="6"/>
  <c r="G219" i="6"/>
  <c r="G218" i="6"/>
  <c r="G217" i="6"/>
  <c r="G216" i="6"/>
  <c r="G215" i="6"/>
  <c r="G214" i="6"/>
  <c r="G213" i="6"/>
  <c r="G212" i="6"/>
  <c r="G211" i="6"/>
  <c r="G210" i="6"/>
  <c r="G209" i="6"/>
  <c r="G208" i="6"/>
  <c r="G207" i="6"/>
  <c r="G206" i="6"/>
  <c r="G205" i="6"/>
  <c r="G204" i="6"/>
  <c r="G203" i="6"/>
  <c r="G202" i="6"/>
  <c r="G201" i="6"/>
  <c r="G200" i="6"/>
  <c r="G199" i="6"/>
  <c r="G198" i="6"/>
  <c r="G197" i="6"/>
  <c r="G196" i="6"/>
  <c r="G195" i="6"/>
  <c r="G194" i="6"/>
  <c r="G193" i="6"/>
  <c r="G192" i="6"/>
  <c r="G191" i="6"/>
  <c r="G190" i="6"/>
  <c r="G189" i="6"/>
  <c r="G188" i="6"/>
  <c r="G187" i="6"/>
  <c r="G186" i="6"/>
  <c r="G185" i="6"/>
  <c r="G184" i="6"/>
  <c r="G183" i="6"/>
  <c r="G182" i="6"/>
  <c r="G181" i="6"/>
  <c r="G180" i="6"/>
  <c r="G179" i="6"/>
  <c r="G178" i="6"/>
  <c r="G177" i="6"/>
  <c r="G176" i="6"/>
  <c r="G175" i="6"/>
  <c r="G174" i="6"/>
  <c r="G171" i="6"/>
  <c r="G170" i="6"/>
  <c r="G169" i="6"/>
  <c r="G168" i="6"/>
  <c r="G167" i="6"/>
  <c r="G166" i="6"/>
  <c r="G165" i="6"/>
  <c r="G164" i="6"/>
  <c r="G163" i="6"/>
  <c r="G162" i="6"/>
  <c r="G161" i="6"/>
  <c r="G160" i="6"/>
  <c r="G159" i="6"/>
  <c r="G158" i="6"/>
  <c r="G157" i="6"/>
  <c r="G156" i="6"/>
  <c r="G155" i="6"/>
  <c r="G154" i="6"/>
  <c r="G153" i="6"/>
  <c r="G152" i="6"/>
  <c r="G151" i="6"/>
  <c r="G150" i="6"/>
  <c r="G149" i="6"/>
  <c r="G148" i="6"/>
  <c r="G147" i="6"/>
  <c r="G146" i="6"/>
  <c r="G145" i="6"/>
  <c r="G144" i="6"/>
  <c r="G143" i="6"/>
  <c r="G142" i="6"/>
  <c r="G141" i="6"/>
  <c r="G140" i="6"/>
  <c r="G139" i="6"/>
  <c r="G138" i="6"/>
  <c r="G137" i="6"/>
  <c r="G136" i="6"/>
  <c r="G135" i="6"/>
  <c r="G134" i="6"/>
  <c r="G133" i="6"/>
  <c r="G132" i="6"/>
  <c r="G131" i="6"/>
  <c r="G130" i="6"/>
  <c r="G129" i="6"/>
  <c r="G128" i="6"/>
  <c r="G127" i="6"/>
  <c r="G126" i="6"/>
  <c r="G125" i="6"/>
  <c r="G124" i="6"/>
  <c r="G123" i="6"/>
  <c r="G122" i="6"/>
  <c r="G121" i="6"/>
  <c r="G120" i="6"/>
  <c r="G119" i="6"/>
  <c r="G118" i="6"/>
  <c r="G117" i="6"/>
  <c r="G116" i="6"/>
  <c r="G115" i="6"/>
  <c r="G114" i="6"/>
  <c r="G113" i="6"/>
  <c r="G112" i="6"/>
  <c r="G111" i="6"/>
  <c r="G110" i="6"/>
  <c r="G109" i="6"/>
  <c r="G108" i="6"/>
  <c r="G107" i="6"/>
  <c r="G106" i="6"/>
  <c r="G103" i="6"/>
  <c r="G102" i="6"/>
  <c r="G101" i="6"/>
  <c r="G100" i="6"/>
  <c r="G99" i="6"/>
  <c r="G98" i="6"/>
  <c r="G97" i="6"/>
  <c r="G96" i="6"/>
  <c r="G95" i="6"/>
  <c r="G94" i="6"/>
  <c r="G93" i="6"/>
  <c r="G92" i="6"/>
  <c r="G91" i="6"/>
  <c r="G90" i="6"/>
  <c r="G89" i="6"/>
  <c r="G88" i="6"/>
  <c r="G87" i="6"/>
  <c r="G86" i="6"/>
  <c r="G85" i="6"/>
  <c r="G84" i="6"/>
  <c r="G83" i="6"/>
  <c r="G82" i="6"/>
  <c r="G81" i="6"/>
  <c r="G80" i="6"/>
  <c r="G79" i="6"/>
  <c r="G78" i="6"/>
  <c r="G77" i="6"/>
  <c r="G76" i="6"/>
  <c r="G75" i="6"/>
  <c r="G74" i="6"/>
  <c r="G73" i="6"/>
  <c r="G72" i="6"/>
  <c r="G71" i="6"/>
  <c r="G70" i="6"/>
  <c r="G69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" i="6"/>
  <c r="G4" i="6"/>
  <c r="G880" i="5"/>
  <c r="G879" i="5"/>
  <c r="G878" i="5"/>
  <c r="G877" i="5"/>
  <c r="G876" i="5"/>
  <c r="G875" i="5"/>
  <c r="G874" i="5"/>
  <c r="G873" i="5"/>
  <c r="G872" i="5"/>
  <c r="G871" i="5"/>
  <c r="G870" i="5"/>
  <c r="G869" i="5"/>
  <c r="G868" i="5"/>
  <c r="G867" i="5"/>
  <c r="G866" i="5"/>
  <c r="G865" i="5"/>
  <c r="G864" i="5"/>
  <c r="G863" i="5"/>
  <c r="G862" i="5"/>
  <c r="G861" i="5"/>
  <c r="G860" i="5"/>
  <c r="G859" i="5"/>
  <c r="G858" i="5"/>
  <c r="G857" i="5"/>
  <c r="G856" i="5"/>
  <c r="G855" i="5"/>
  <c r="G854" i="5"/>
  <c r="G853" i="5"/>
  <c r="G852" i="5"/>
  <c r="G851" i="5"/>
  <c r="G850" i="5"/>
  <c r="G849" i="5"/>
  <c r="G848" i="5"/>
  <c r="G847" i="5"/>
  <c r="G846" i="5"/>
  <c r="G845" i="5"/>
  <c r="G844" i="5"/>
  <c r="G843" i="5"/>
  <c r="G842" i="5"/>
  <c r="G841" i="5"/>
  <c r="G840" i="5"/>
  <c r="G839" i="5"/>
  <c r="G838" i="5"/>
  <c r="G837" i="5"/>
  <c r="G836" i="5"/>
  <c r="G835" i="5"/>
  <c r="G834" i="5"/>
  <c r="G833" i="5"/>
  <c r="G832" i="5"/>
  <c r="G831" i="5"/>
  <c r="G830" i="5"/>
  <c r="G829" i="5"/>
  <c r="G828" i="5"/>
  <c r="G827" i="5"/>
  <c r="G826" i="5"/>
  <c r="G825" i="5"/>
  <c r="G824" i="5"/>
  <c r="G823" i="5"/>
  <c r="G822" i="5"/>
  <c r="G821" i="5"/>
  <c r="G820" i="5"/>
  <c r="G819" i="5"/>
  <c r="G818" i="5"/>
  <c r="G817" i="5"/>
  <c r="G816" i="5"/>
  <c r="G815" i="5"/>
  <c r="G814" i="5"/>
  <c r="G813" i="5"/>
  <c r="G812" i="5"/>
  <c r="G811" i="5"/>
  <c r="G810" i="5"/>
  <c r="G809" i="5"/>
  <c r="G808" i="5"/>
  <c r="G807" i="5"/>
  <c r="G806" i="5"/>
  <c r="G805" i="5"/>
  <c r="G804" i="5"/>
  <c r="G803" i="5"/>
  <c r="G802" i="5"/>
  <c r="G801" i="5"/>
  <c r="G800" i="5"/>
  <c r="G799" i="5"/>
  <c r="G798" i="5"/>
  <c r="G797" i="5"/>
  <c r="G796" i="5"/>
  <c r="G795" i="5"/>
  <c r="G794" i="5"/>
  <c r="G793" i="5"/>
  <c r="G792" i="5"/>
  <c r="G791" i="5"/>
  <c r="G790" i="5"/>
  <c r="G789" i="5"/>
  <c r="G788" i="5"/>
  <c r="G787" i="5"/>
  <c r="G786" i="5"/>
  <c r="G785" i="5"/>
  <c r="G784" i="5"/>
  <c r="G783" i="5"/>
  <c r="G782" i="5"/>
  <c r="G781" i="5"/>
  <c r="G778" i="5"/>
  <c r="G777" i="5"/>
  <c r="G776" i="5"/>
  <c r="G775" i="5"/>
  <c r="G774" i="5"/>
  <c r="G773" i="5"/>
  <c r="G772" i="5"/>
  <c r="G771" i="5"/>
  <c r="G770" i="5"/>
  <c r="G769" i="5"/>
  <c r="G768" i="5"/>
  <c r="G767" i="5"/>
  <c r="G766" i="5"/>
  <c r="G765" i="5"/>
  <c r="G764" i="5"/>
  <c r="G763" i="5"/>
  <c r="G762" i="5"/>
  <c r="G761" i="5"/>
  <c r="G760" i="5"/>
  <c r="G759" i="5"/>
  <c r="G758" i="5"/>
  <c r="G757" i="5"/>
  <c r="G756" i="5"/>
  <c r="G755" i="5"/>
  <c r="G754" i="5"/>
  <c r="G753" i="5"/>
  <c r="G752" i="5"/>
  <c r="G751" i="5"/>
  <c r="G750" i="5"/>
  <c r="G749" i="5"/>
  <c r="G748" i="5"/>
  <c r="G747" i="5"/>
  <c r="G746" i="5"/>
  <c r="G745" i="5"/>
  <c r="G744" i="5"/>
  <c r="G743" i="5"/>
  <c r="G742" i="5"/>
  <c r="G741" i="5"/>
  <c r="G740" i="5"/>
  <c r="G739" i="5"/>
  <c r="G738" i="5"/>
  <c r="G737" i="5"/>
  <c r="G736" i="5"/>
  <c r="G735" i="5"/>
  <c r="G734" i="5"/>
  <c r="G733" i="5"/>
  <c r="G732" i="5"/>
  <c r="G731" i="5"/>
  <c r="G730" i="5"/>
  <c r="G729" i="5"/>
  <c r="G728" i="5"/>
  <c r="G727" i="5"/>
  <c r="G726" i="5"/>
  <c r="G725" i="5"/>
  <c r="G724" i="5"/>
  <c r="G723" i="5"/>
  <c r="G722" i="5"/>
  <c r="G721" i="5"/>
  <c r="G720" i="5"/>
  <c r="G719" i="5"/>
  <c r="G718" i="5"/>
  <c r="G717" i="5"/>
  <c r="G716" i="5"/>
  <c r="G715" i="5"/>
  <c r="G714" i="5"/>
  <c r="G713" i="5"/>
  <c r="G712" i="5"/>
  <c r="G711" i="5"/>
  <c r="G710" i="5"/>
  <c r="G709" i="5"/>
  <c r="G708" i="5"/>
  <c r="G707" i="5"/>
  <c r="G706" i="5"/>
  <c r="G705" i="5"/>
  <c r="G704" i="5"/>
  <c r="G703" i="5"/>
  <c r="G702" i="5"/>
  <c r="G701" i="5"/>
  <c r="G700" i="5"/>
  <c r="G699" i="5"/>
  <c r="G698" i="5"/>
  <c r="G697" i="5"/>
  <c r="G696" i="5"/>
  <c r="G695" i="5"/>
  <c r="G694" i="5"/>
  <c r="G693" i="5"/>
  <c r="G692" i="5"/>
  <c r="G691" i="5"/>
  <c r="G690" i="5"/>
  <c r="G689" i="5"/>
  <c r="G688" i="5"/>
  <c r="G687" i="5"/>
  <c r="G686" i="5"/>
  <c r="G685" i="5"/>
  <c r="G684" i="5"/>
  <c r="G683" i="5"/>
  <c r="G682" i="5"/>
  <c r="G681" i="5"/>
  <c r="G680" i="5"/>
  <c r="G679" i="5"/>
  <c r="G676" i="5"/>
  <c r="G675" i="5"/>
  <c r="G674" i="5"/>
  <c r="G673" i="5"/>
  <c r="G672" i="5"/>
  <c r="G671" i="5"/>
  <c r="G670" i="5"/>
  <c r="G669" i="5"/>
  <c r="G668" i="5"/>
  <c r="G667" i="5"/>
  <c r="G666" i="5"/>
  <c r="G665" i="5"/>
  <c r="G664" i="5"/>
  <c r="G663" i="5"/>
  <c r="G662" i="5"/>
  <c r="G661" i="5"/>
  <c r="G660" i="5"/>
  <c r="G659" i="5"/>
  <c r="G658" i="5"/>
  <c r="G657" i="5"/>
  <c r="G656" i="5"/>
  <c r="G655" i="5"/>
  <c r="G654" i="5"/>
  <c r="G653" i="5"/>
  <c r="G652" i="5"/>
  <c r="G651" i="5"/>
  <c r="G650" i="5"/>
  <c r="G649" i="5"/>
  <c r="G648" i="5"/>
  <c r="G647" i="5"/>
  <c r="G646" i="5"/>
  <c r="G645" i="5"/>
  <c r="G644" i="5"/>
  <c r="G643" i="5"/>
  <c r="G642" i="5"/>
  <c r="G641" i="5"/>
  <c r="G640" i="5"/>
  <c r="G639" i="5"/>
  <c r="G638" i="5"/>
  <c r="G637" i="5"/>
  <c r="G636" i="5"/>
  <c r="G635" i="5"/>
  <c r="G634" i="5"/>
  <c r="G633" i="5"/>
  <c r="G632" i="5"/>
  <c r="G631" i="5"/>
  <c r="G630" i="5"/>
  <c r="G629" i="5"/>
  <c r="G628" i="5"/>
  <c r="G627" i="5"/>
  <c r="G626" i="5"/>
  <c r="G625" i="5"/>
  <c r="G624" i="5"/>
  <c r="G623" i="5"/>
  <c r="G622" i="5"/>
  <c r="G621" i="5"/>
  <c r="G620" i="5"/>
  <c r="G619" i="5"/>
  <c r="G618" i="5"/>
  <c r="G617" i="5"/>
  <c r="G616" i="5"/>
  <c r="G615" i="5"/>
  <c r="G614" i="5"/>
  <c r="G613" i="5"/>
  <c r="G612" i="5"/>
  <c r="G611" i="5"/>
  <c r="G610" i="5"/>
  <c r="G609" i="5"/>
  <c r="G608" i="5"/>
  <c r="G607" i="5"/>
  <c r="G606" i="5"/>
  <c r="G605" i="5"/>
  <c r="G604" i="5"/>
  <c r="G603" i="5"/>
  <c r="G602" i="5"/>
  <c r="G601" i="5"/>
  <c r="G600" i="5"/>
  <c r="G599" i="5"/>
  <c r="G598" i="5"/>
  <c r="G597" i="5"/>
  <c r="G596" i="5"/>
  <c r="G595" i="5"/>
  <c r="G594" i="5"/>
  <c r="G593" i="5"/>
  <c r="G592" i="5"/>
  <c r="G591" i="5"/>
  <c r="G590" i="5"/>
  <c r="G589" i="5"/>
  <c r="G588" i="5"/>
  <c r="G587" i="5"/>
  <c r="G586" i="5"/>
  <c r="G585" i="5"/>
  <c r="G584" i="5"/>
  <c r="G583" i="5"/>
  <c r="G582" i="5"/>
  <c r="G581" i="5"/>
  <c r="G580" i="5"/>
  <c r="G579" i="5"/>
  <c r="G578" i="5"/>
  <c r="G577" i="5"/>
  <c r="G574" i="5"/>
  <c r="G573" i="5"/>
  <c r="G572" i="5"/>
  <c r="G571" i="5"/>
  <c r="G570" i="5"/>
  <c r="G569" i="5"/>
  <c r="G568" i="5"/>
  <c r="G567" i="5"/>
  <c r="G566" i="5"/>
  <c r="G565" i="5"/>
  <c r="G564" i="5"/>
  <c r="G563" i="5"/>
  <c r="G562" i="5"/>
  <c r="G561" i="5"/>
  <c r="G560" i="5"/>
  <c r="G559" i="5"/>
  <c r="G558" i="5"/>
  <c r="G557" i="5"/>
  <c r="G556" i="5"/>
  <c r="G555" i="5"/>
  <c r="G554" i="5"/>
  <c r="G553" i="5"/>
  <c r="G552" i="5"/>
  <c r="G551" i="5"/>
  <c r="G550" i="5"/>
  <c r="G549" i="5"/>
  <c r="G548" i="5"/>
  <c r="G547" i="5"/>
  <c r="G546" i="5"/>
  <c r="G545" i="5"/>
  <c r="G544" i="5"/>
  <c r="G543" i="5"/>
  <c r="G542" i="5"/>
  <c r="G541" i="5"/>
  <c r="G540" i="5"/>
  <c r="G539" i="5"/>
  <c r="G538" i="5"/>
  <c r="G537" i="5"/>
  <c r="G536" i="5"/>
  <c r="G535" i="5"/>
  <c r="G534" i="5"/>
  <c r="G533" i="5"/>
  <c r="G532" i="5"/>
  <c r="G531" i="5"/>
  <c r="G530" i="5"/>
  <c r="G529" i="5"/>
  <c r="G528" i="5"/>
  <c r="G527" i="5"/>
  <c r="G526" i="5"/>
  <c r="G525" i="5"/>
  <c r="G524" i="5"/>
  <c r="G523" i="5"/>
  <c r="G522" i="5"/>
  <c r="G521" i="5"/>
  <c r="G520" i="5"/>
  <c r="G519" i="5"/>
  <c r="G518" i="5"/>
  <c r="G517" i="5"/>
  <c r="G516" i="5"/>
  <c r="G515" i="5"/>
  <c r="G514" i="5"/>
  <c r="G513" i="5"/>
  <c r="G512" i="5"/>
  <c r="G511" i="5"/>
  <c r="G510" i="5"/>
  <c r="G509" i="5"/>
  <c r="G508" i="5"/>
  <c r="G507" i="5"/>
  <c r="G506" i="5"/>
  <c r="G505" i="5"/>
  <c r="G504" i="5"/>
  <c r="G503" i="5"/>
  <c r="G502" i="5"/>
  <c r="G501" i="5"/>
  <c r="G500" i="5"/>
  <c r="G499" i="5"/>
  <c r="G498" i="5"/>
  <c r="G497" i="5"/>
  <c r="G496" i="5"/>
  <c r="G495" i="5"/>
  <c r="G494" i="5"/>
  <c r="G493" i="5"/>
  <c r="G492" i="5"/>
  <c r="G491" i="5"/>
  <c r="G490" i="5"/>
  <c r="G489" i="5"/>
  <c r="G488" i="5"/>
  <c r="G487" i="5"/>
  <c r="G484" i="5"/>
  <c r="G483" i="5"/>
  <c r="G482" i="5"/>
  <c r="G481" i="5"/>
  <c r="G480" i="5"/>
  <c r="G479" i="5"/>
  <c r="G478" i="5"/>
  <c r="G477" i="5"/>
  <c r="G476" i="5"/>
  <c r="G475" i="5"/>
  <c r="G474" i="5"/>
  <c r="G473" i="5"/>
  <c r="G472" i="5"/>
  <c r="G471" i="5"/>
  <c r="G470" i="5"/>
  <c r="G469" i="5"/>
  <c r="G468" i="5"/>
  <c r="G467" i="5"/>
  <c r="G466" i="5"/>
  <c r="G465" i="5"/>
  <c r="G464" i="5"/>
  <c r="G463" i="5"/>
  <c r="G462" i="5"/>
  <c r="G461" i="5"/>
  <c r="G460" i="5"/>
  <c r="G459" i="5"/>
  <c r="G458" i="5"/>
  <c r="G457" i="5"/>
  <c r="G456" i="5"/>
  <c r="G455" i="5"/>
  <c r="G454" i="5"/>
  <c r="G453" i="5"/>
  <c r="G452" i="5"/>
  <c r="G451" i="5"/>
  <c r="G450" i="5"/>
  <c r="G449" i="5"/>
  <c r="G448" i="5"/>
  <c r="G447" i="5"/>
  <c r="G446" i="5"/>
  <c r="G445" i="5"/>
  <c r="G444" i="5"/>
  <c r="G443" i="5"/>
  <c r="G442" i="5"/>
  <c r="G441" i="5"/>
  <c r="G440" i="5"/>
  <c r="G439" i="5"/>
  <c r="G438" i="5"/>
  <c r="G437" i="5"/>
  <c r="G436" i="5"/>
  <c r="G435" i="5"/>
  <c r="G434" i="5"/>
  <c r="G433" i="5"/>
  <c r="G432" i="5"/>
  <c r="G431" i="5"/>
  <c r="G430" i="5"/>
  <c r="G429" i="5"/>
  <c r="G428" i="5"/>
  <c r="G427" i="5"/>
  <c r="G426" i="5"/>
  <c r="G425" i="5"/>
  <c r="G424" i="5"/>
  <c r="G423" i="5"/>
  <c r="G422" i="5"/>
  <c r="G421" i="5"/>
  <c r="G420" i="5"/>
  <c r="G419" i="5"/>
  <c r="G418" i="5"/>
  <c r="G417" i="5"/>
  <c r="G416" i="5"/>
  <c r="G415" i="5"/>
  <c r="G414" i="5"/>
  <c r="G413" i="5"/>
  <c r="G412" i="5"/>
  <c r="G411" i="5"/>
  <c r="G410" i="5"/>
  <c r="G409" i="5"/>
  <c r="G408" i="5"/>
  <c r="G407" i="5"/>
  <c r="G406" i="5"/>
  <c r="G405" i="5"/>
  <c r="G404" i="5"/>
  <c r="G403" i="5"/>
  <c r="G402" i="5"/>
  <c r="G401" i="5"/>
  <c r="G400" i="5"/>
  <c r="G399" i="5"/>
  <c r="G398" i="5"/>
  <c r="G397" i="5"/>
  <c r="G396" i="5"/>
  <c r="G395" i="5"/>
  <c r="G394" i="5"/>
  <c r="G393" i="5"/>
  <c r="G392" i="5"/>
  <c r="G391" i="5"/>
  <c r="G390" i="5"/>
  <c r="G389" i="5"/>
  <c r="G388" i="5"/>
  <c r="G387" i="5"/>
  <c r="G386" i="5"/>
  <c r="G385" i="5"/>
  <c r="G381" i="5"/>
  <c r="G380" i="5"/>
  <c r="G379" i="5"/>
  <c r="G378" i="5"/>
  <c r="G377" i="5"/>
  <c r="G376" i="5"/>
  <c r="G375" i="5"/>
  <c r="G374" i="5"/>
  <c r="G373" i="5"/>
  <c r="G372" i="5"/>
  <c r="G371" i="5"/>
  <c r="G370" i="5"/>
  <c r="G369" i="5"/>
  <c r="G368" i="5"/>
  <c r="G367" i="5"/>
  <c r="G366" i="5"/>
  <c r="G365" i="5"/>
  <c r="G364" i="5"/>
  <c r="G363" i="5"/>
  <c r="G362" i="5"/>
  <c r="G361" i="5"/>
  <c r="G360" i="5"/>
  <c r="G359" i="5"/>
  <c r="G358" i="5"/>
  <c r="G357" i="5"/>
  <c r="G356" i="5"/>
  <c r="G355" i="5"/>
  <c r="G354" i="5"/>
  <c r="G353" i="5"/>
  <c r="G352" i="5"/>
  <c r="G351" i="5"/>
  <c r="G350" i="5"/>
  <c r="G349" i="5"/>
  <c r="G348" i="5"/>
  <c r="G347" i="5"/>
  <c r="G346" i="5"/>
  <c r="G345" i="5"/>
  <c r="G344" i="5"/>
  <c r="G343" i="5"/>
  <c r="G342" i="5"/>
  <c r="G341" i="5"/>
  <c r="G340" i="5"/>
  <c r="G339" i="5"/>
  <c r="G338" i="5"/>
  <c r="G337" i="5"/>
  <c r="G336" i="5"/>
  <c r="G335" i="5"/>
  <c r="G334" i="5"/>
  <c r="G333" i="5"/>
  <c r="G332" i="5"/>
  <c r="G331" i="5"/>
  <c r="G330" i="5"/>
  <c r="G329" i="5"/>
  <c r="G328" i="5"/>
  <c r="G327" i="5"/>
  <c r="G326" i="5"/>
  <c r="G325" i="5"/>
  <c r="G324" i="5"/>
  <c r="G323" i="5"/>
  <c r="G322" i="5"/>
  <c r="G321" i="5"/>
  <c r="G320" i="5"/>
  <c r="G319" i="5"/>
  <c r="G318" i="5"/>
  <c r="G317" i="5"/>
  <c r="G316" i="5"/>
  <c r="G315" i="5"/>
  <c r="G314" i="5"/>
  <c r="G313" i="5"/>
  <c r="G312" i="5"/>
  <c r="G311" i="5"/>
  <c r="G310" i="5"/>
  <c r="G307" i="5"/>
  <c r="G306" i="5"/>
  <c r="G305" i="5"/>
  <c r="G304" i="5"/>
  <c r="G303" i="5"/>
  <c r="G302" i="5"/>
  <c r="G301" i="5"/>
  <c r="G300" i="5"/>
  <c r="G299" i="5"/>
  <c r="G298" i="5"/>
  <c r="G297" i="5"/>
  <c r="G296" i="5"/>
  <c r="G295" i="5"/>
  <c r="G294" i="5"/>
  <c r="G293" i="5"/>
  <c r="G292" i="5"/>
  <c r="G291" i="5"/>
  <c r="G290" i="5"/>
  <c r="G289" i="5"/>
  <c r="G288" i="5"/>
  <c r="G287" i="5"/>
  <c r="G286" i="5"/>
  <c r="G285" i="5"/>
  <c r="G284" i="5"/>
  <c r="G283" i="5"/>
  <c r="G282" i="5"/>
  <c r="G281" i="5"/>
  <c r="G280" i="5"/>
  <c r="G279" i="5"/>
  <c r="G278" i="5"/>
  <c r="G277" i="5"/>
  <c r="G276" i="5"/>
  <c r="G275" i="5"/>
  <c r="G274" i="5"/>
  <c r="G273" i="5"/>
  <c r="G272" i="5"/>
  <c r="G271" i="5"/>
  <c r="G270" i="5"/>
  <c r="G269" i="5"/>
  <c r="G268" i="5"/>
  <c r="G267" i="5"/>
  <c r="G266" i="5"/>
  <c r="G265" i="5"/>
  <c r="G264" i="5"/>
  <c r="G263" i="5"/>
  <c r="G262" i="5"/>
  <c r="G261" i="5"/>
  <c r="G260" i="5"/>
  <c r="G259" i="5"/>
  <c r="G258" i="5"/>
  <c r="G257" i="5"/>
  <c r="G256" i="5"/>
  <c r="G255" i="5"/>
  <c r="G254" i="5"/>
  <c r="G253" i="5"/>
  <c r="G252" i="5"/>
  <c r="G251" i="5"/>
  <c r="G250" i="5"/>
  <c r="G249" i="5"/>
  <c r="G248" i="5"/>
  <c r="G247" i="5"/>
  <c r="G246" i="5"/>
  <c r="G245" i="5"/>
  <c r="G244" i="5"/>
  <c r="G243" i="5"/>
  <c r="G242" i="5"/>
  <c r="G241" i="5"/>
  <c r="G240" i="5"/>
  <c r="G239" i="5"/>
  <c r="G238" i="5"/>
  <c r="G237" i="5"/>
  <c r="G236" i="5"/>
  <c r="G235" i="5"/>
  <c r="G234" i="5"/>
  <c r="G233" i="5"/>
  <c r="G232" i="5"/>
  <c r="G231" i="5"/>
  <c r="G230" i="5"/>
  <c r="G229" i="5"/>
  <c r="G228" i="5"/>
  <c r="G227" i="5"/>
  <c r="G226" i="5"/>
  <c r="G225" i="5"/>
  <c r="G224" i="5"/>
  <c r="G223" i="5"/>
  <c r="G222" i="5"/>
  <c r="G221" i="5"/>
  <c r="G220" i="5"/>
  <c r="G219" i="5"/>
  <c r="G218" i="5"/>
  <c r="G217" i="5"/>
  <c r="G216" i="5"/>
  <c r="G215" i="5"/>
  <c r="G214" i="5"/>
  <c r="G213" i="5"/>
  <c r="G212" i="5"/>
  <c r="G211" i="5"/>
  <c r="G210" i="5"/>
  <c r="G209" i="5"/>
  <c r="G208" i="5"/>
  <c r="G205" i="5"/>
  <c r="G204" i="5"/>
  <c r="G203" i="5"/>
  <c r="G202" i="5"/>
  <c r="G201" i="5"/>
  <c r="G200" i="5"/>
  <c r="G199" i="5"/>
  <c r="G198" i="5"/>
  <c r="G197" i="5"/>
  <c r="G196" i="5"/>
  <c r="G195" i="5"/>
  <c r="G194" i="5"/>
  <c r="G193" i="5"/>
  <c r="G192" i="5"/>
  <c r="G191" i="5"/>
  <c r="G190" i="5"/>
  <c r="G189" i="5"/>
  <c r="G188" i="5"/>
  <c r="G187" i="5"/>
  <c r="G186" i="5"/>
  <c r="G185" i="5"/>
  <c r="G184" i="5"/>
  <c r="G183" i="5"/>
  <c r="G182" i="5"/>
  <c r="G181" i="5"/>
  <c r="G180" i="5"/>
  <c r="G179" i="5"/>
  <c r="G178" i="5"/>
  <c r="G177" i="5"/>
  <c r="G176" i="5"/>
  <c r="G175" i="5"/>
  <c r="G174" i="5"/>
  <c r="G173" i="5"/>
  <c r="G172" i="5"/>
  <c r="G171" i="5"/>
  <c r="G170" i="5"/>
  <c r="G169" i="5"/>
  <c r="G168" i="5"/>
  <c r="G167" i="5"/>
  <c r="G166" i="5"/>
  <c r="G165" i="5"/>
  <c r="G164" i="5"/>
  <c r="G163" i="5"/>
  <c r="G162" i="5"/>
  <c r="G161" i="5"/>
  <c r="G160" i="5"/>
  <c r="G159" i="5"/>
  <c r="G158" i="5"/>
  <c r="G157" i="5"/>
  <c r="G156" i="5"/>
  <c r="G155" i="5"/>
  <c r="G154" i="5"/>
  <c r="G153" i="5"/>
  <c r="G152" i="5"/>
  <c r="G151" i="5"/>
  <c r="G150" i="5"/>
  <c r="G149" i="5"/>
  <c r="G148" i="5"/>
  <c r="G147" i="5"/>
  <c r="G146" i="5"/>
  <c r="G145" i="5"/>
  <c r="G144" i="5"/>
  <c r="G143" i="5"/>
  <c r="G142" i="5"/>
  <c r="G141" i="5"/>
  <c r="G140" i="5"/>
  <c r="G139" i="5"/>
  <c r="G138" i="5"/>
  <c r="G137" i="5"/>
  <c r="G136" i="5"/>
  <c r="G135" i="5"/>
  <c r="G134" i="5"/>
  <c r="G133" i="5"/>
  <c r="G132" i="5"/>
  <c r="G131" i="5"/>
  <c r="G130" i="5"/>
  <c r="G129" i="5"/>
  <c r="G128" i="5"/>
  <c r="G127" i="5"/>
  <c r="G126" i="5"/>
  <c r="G125" i="5"/>
  <c r="G124" i="5"/>
  <c r="G123" i="5"/>
  <c r="G122" i="5"/>
  <c r="G121" i="5"/>
  <c r="G120" i="5"/>
  <c r="G119" i="5"/>
  <c r="G118" i="5"/>
  <c r="G117" i="5"/>
  <c r="G116" i="5"/>
  <c r="G115" i="5"/>
  <c r="G114" i="5"/>
  <c r="G113" i="5"/>
  <c r="G112" i="5"/>
  <c r="G111" i="5"/>
  <c r="G110" i="5"/>
  <c r="G109" i="5"/>
  <c r="G108" i="5"/>
  <c r="G107" i="5"/>
  <c r="G106" i="5"/>
  <c r="G103" i="5"/>
  <c r="G102" i="5"/>
  <c r="G101" i="5"/>
  <c r="G100" i="5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G85" i="5"/>
  <c r="G84" i="5"/>
  <c r="G83" i="5"/>
  <c r="G82" i="5"/>
  <c r="G81" i="5"/>
  <c r="G80" i="5"/>
  <c r="G79" i="5"/>
  <c r="G78" i="5"/>
  <c r="G77" i="5"/>
  <c r="G76" i="5"/>
  <c r="G75" i="5"/>
  <c r="G74" i="5"/>
  <c r="G73" i="5"/>
  <c r="G72" i="5"/>
  <c r="G71" i="5"/>
  <c r="G70" i="5"/>
  <c r="G69" i="5"/>
  <c r="G68" i="5"/>
  <c r="G67" i="5"/>
  <c r="G66" i="5"/>
  <c r="G65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4" i="5"/>
  <c r="G835" i="4"/>
  <c r="G834" i="4"/>
  <c r="G833" i="4"/>
  <c r="G832" i="4"/>
  <c r="G831" i="4"/>
  <c r="G830" i="4"/>
  <c r="G829" i="4"/>
  <c r="G828" i="4"/>
  <c r="G827" i="4"/>
  <c r="G826" i="4"/>
  <c r="G825" i="4"/>
  <c r="G824" i="4"/>
  <c r="G823" i="4"/>
  <c r="G822" i="4"/>
  <c r="G821" i="4"/>
  <c r="G820" i="4"/>
  <c r="G819" i="4"/>
  <c r="G818" i="4"/>
  <c r="G817" i="4"/>
  <c r="G816" i="4"/>
  <c r="G815" i="4"/>
  <c r="G814" i="4"/>
  <c r="G813" i="4"/>
  <c r="G812" i="4"/>
  <c r="G811" i="4"/>
  <c r="G810" i="4"/>
  <c r="G809" i="4"/>
  <c r="G808" i="4"/>
  <c r="G807" i="4"/>
  <c r="G806" i="4"/>
  <c r="G805" i="4"/>
  <c r="G804" i="4"/>
  <c r="G803" i="4"/>
  <c r="G802" i="4"/>
  <c r="G801" i="4"/>
  <c r="G800" i="4"/>
  <c r="G799" i="4"/>
  <c r="G798" i="4"/>
  <c r="G797" i="4"/>
  <c r="G796" i="4"/>
  <c r="G795" i="4"/>
  <c r="G794" i="4"/>
  <c r="G793" i="4"/>
  <c r="G792" i="4"/>
  <c r="G791" i="4"/>
  <c r="G790" i="4"/>
  <c r="G789" i="4"/>
  <c r="G788" i="4"/>
  <c r="G787" i="4"/>
  <c r="G786" i="4"/>
  <c r="G785" i="4"/>
  <c r="G784" i="4"/>
  <c r="G783" i="4"/>
  <c r="G782" i="4"/>
  <c r="G781" i="4"/>
  <c r="G780" i="4"/>
  <c r="G779" i="4"/>
  <c r="G778" i="4"/>
  <c r="G777" i="4"/>
  <c r="G776" i="4"/>
  <c r="G775" i="4"/>
  <c r="G774" i="4"/>
  <c r="G773" i="4"/>
  <c r="G772" i="4"/>
  <c r="G771" i="4"/>
  <c r="G770" i="4"/>
  <c r="G769" i="4"/>
  <c r="G768" i="4"/>
  <c r="G767" i="4"/>
  <c r="G766" i="4"/>
  <c r="G765" i="4"/>
  <c r="G764" i="4"/>
  <c r="G763" i="4"/>
  <c r="G762" i="4"/>
  <c r="G761" i="4"/>
  <c r="G760" i="4"/>
  <c r="G759" i="4"/>
  <c r="G758" i="4"/>
  <c r="G757" i="4"/>
  <c r="G756" i="4"/>
  <c r="G755" i="4"/>
  <c r="G754" i="4"/>
  <c r="G753" i="4"/>
  <c r="G752" i="4"/>
  <c r="G751" i="4"/>
  <c r="G750" i="4"/>
  <c r="G749" i="4"/>
  <c r="G748" i="4"/>
  <c r="G747" i="4"/>
  <c r="G746" i="4"/>
  <c r="G745" i="4"/>
  <c r="G744" i="4"/>
  <c r="G743" i="4"/>
  <c r="G742" i="4"/>
  <c r="G741" i="4"/>
  <c r="G740" i="4"/>
  <c r="G739" i="4"/>
  <c r="G738" i="4"/>
  <c r="G737" i="4"/>
  <c r="G736" i="4"/>
  <c r="G733" i="4"/>
  <c r="G732" i="4"/>
  <c r="G731" i="4"/>
  <c r="G730" i="4"/>
  <c r="G729" i="4"/>
  <c r="G728" i="4"/>
  <c r="G727" i="4"/>
  <c r="G726" i="4"/>
  <c r="G725" i="4"/>
  <c r="G724" i="4"/>
  <c r="G723" i="4"/>
  <c r="G722" i="4"/>
  <c r="G721" i="4"/>
  <c r="G720" i="4"/>
  <c r="G719" i="4"/>
  <c r="G718" i="4"/>
  <c r="G717" i="4"/>
  <c r="G716" i="4"/>
  <c r="G715" i="4"/>
  <c r="G714" i="4"/>
  <c r="G713" i="4"/>
  <c r="G712" i="4"/>
  <c r="G711" i="4"/>
  <c r="G710" i="4"/>
  <c r="G709" i="4"/>
  <c r="G708" i="4"/>
  <c r="G707" i="4"/>
  <c r="G706" i="4"/>
  <c r="G705" i="4"/>
  <c r="G704" i="4"/>
  <c r="G703" i="4"/>
  <c r="G702" i="4"/>
  <c r="G701" i="4"/>
  <c r="G700" i="4"/>
  <c r="G699" i="4"/>
  <c r="G698" i="4"/>
  <c r="G697" i="4"/>
  <c r="G696" i="4"/>
  <c r="G695" i="4"/>
  <c r="G694" i="4"/>
  <c r="G693" i="4"/>
  <c r="G692" i="4"/>
  <c r="G691" i="4"/>
  <c r="G690" i="4"/>
  <c r="G689" i="4"/>
  <c r="G688" i="4"/>
  <c r="G687" i="4"/>
  <c r="G686" i="4"/>
  <c r="G685" i="4"/>
  <c r="G684" i="4"/>
  <c r="G683" i="4"/>
  <c r="G682" i="4"/>
  <c r="G681" i="4"/>
  <c r="G680" i="4"/>
  <c r="G679" i="4"/>
  <c r="G678" i="4"/>
  <c r="G677" i="4"/>
  <c r="G676" i="4"/>
  <c r="G675" i="4"/>
  <c r="G674" i="4"/>
  <c r="G673" i="4"/>
  <c r="G672" i="4"/>
  <c r="G671" i="4"/>
  <c r="G670" i="4"/>
  <c r="G669" i="4"/>
  <c r="G668" i="4"/>
  <c r="G667" i="4"/>
  <c r="G666" i="4"/>
  <c r="G665" i="4"/>
  <c r="G664" i="4"/>
  <c r="G663" i="4"/>
  <c r="G662" i="4"/>
  <c r="G661" i="4"/>
  <c r="G660" i="4"/>
  <c r="G659" i="4"/>
  <c r="G658" i="4"/>
  <c r="G657" i="4"/>
  <c r="G656" i="4"/>
  <c r="G655" i="4"/>
  <c r="G654" i="4"/>
  <c r="G653" i="4"/>
  <c r="G652" i="4"/>
  <c r="G651" i="4"/>
  <c r="G650" i="4"/>
  <c r="G649" i="4"/>
  <c r="G648" i="4"/>
  <c r="G647" i="4"/>
  <c r="G646" i="4"/>
  <c r="G645" i="4"/>
  <c r="G644" i="4"/>
  <c r="G643" i="4"/>
  <c r="G642" i="4"/>
  <c r="G641" i="4"/>
  <c r="G640" i="4"/>
  <c r="G639" i="4"/>
  <c r="G638" i="4"/>
  <c r="G637" i="4"/>
  <c r="G636" i="4"/>
  <c r="G635" i="4"/>
  <c r="G634" i="4"/>
  <c r="G631" i="4"/>
  <c r="G630" i="4"/>
  <c r="G629" i="4"/>
  <c r="G628" i="4"/>
  <c r="G627" i="4"/>
  <c r="G626" i="4"/>
  <c r="G625" i="4"/>
  <c r="G624" i="4"/>
  <c r="G623" i="4"/>
  <c r="G622" i="4"/>
  <c r="G621" i="4"/>
  <c r="G620" i="4"/>
  <c r="G619" i="4"/>
  <c r="G618" i="4"/>
  <c r="G617" i="4"/>
  <c r="G616" i="4"/>
  <c r="G615" i="4"/>
  <c r="G614" i="4"/>
  <c r="G613" i="4"/>
  <c r="G612" i="4"/>
  <c r="G611" i="4"/>
  <c r="G610" i="4"/>
  <c r="G609" i="4"/>
  <c r="G608" i="4"/>
  <c r="G607" i="4"/>
  <c r="G606" i="4"/>
  <c r="G605" i="4"/>
  <c r="G604" i="4"/>
  <c r="G603" i="4"/>
  <c r="G602" i="4"/>
  <c r="G601" i="4"/>
  <c r="G600" i="4"/>
  <c r="G599" i="4"/>
  <c r="G598" i="4"/>
  <c r="G597" i="4"/>
  <c r="G596" i="4"/>
  <c r="G595" i="4"/>
  <c r="G594" i="4"/>
  <c r="G593" i="4"/>
  <c r="G592" i="4"/>
  <c r="G591" i="4"/>
  <c r="G590" i="4"/>
  <c r="G589" i="4"/>
  <c r="G588" i="4"/>
  <c r="G587" i="4"/>
  <c r="G586" i="4"/>
  <c r="G585" i="4"/>
  <c r="G584" i="4"/>
  <c r="G583" i="4"/>
  <c r="G582" i="4"/>
  <c r="G581" i="4"/>
  <c r="G580" i="4"/>
  <c r="G579" i="4"/>
  <c r="G578" i="4"/>
  <c r="G577" i="4"/>
  <c r="G576" i="4"/>
  <c r="G575" i="4"/>
  <c r="G574" i="4"/>
  <c r="G573" i="4"/>
  <c r="G572" i="4"/>
  <c r="G571" i="4"/>
  <c r="G570" i="4"/>
  <c r="G569" i="4"/>
  <c r="G568" i="4"/>
  <c r="G567" i="4"/>
  <c r="G566" i="4"/>
  <c r="G565" i="4"/>
  <c r="G564" i="4"/>
  <c r="G563" i="4"/>
  <c r="G562" i="4"/>
  <c r="G561" i="4"/>
  <c r="G560" i="4"/>
  <c r="G559" i="4"/>
  <c r="G558" i="4"/>
  <c r="G557" i="4"/>
  <c r="G556" i="4"/>
  <c r="G555" i="4"/>
  <c r="G554" i="4"/>
  <c r="G553" i="4"/>
  <c r="G552" i="4"/>
  <c r="G551" i="4"/>
  <c r="G550" i="4"/>
  <c r="G549" i="4"/>
  <c r="G548" i="4"/>
  <c r="G547" i="4"/>
  <c r="G546" i="4"/>
  <c r="G545" i="4"/>
  <c r="G544" i="4"/>
  <c r="G543" i="4"/>
  <c r="G542" i="4"/>
  <c r="G541" i="4"/>
  <c r="G540" i="4"/>
  <c r="G539" i="4"/>
  <c r="G538" i="4"/>
  <c r="G537" i="4"/>
  <c r="G536" i="4"/>
  <c r="G535" i="4"/>
  <c r="G534" i="4"/>
  <c r="G533" i="4"/>
  <c r="G532" i="4"/>
  <c r="G529" i="4"/>
  <c r="G528" i="4"/>
  <c r="G527" i="4"/>
  <c r="G526" i="4"/>
  <c r="G525" i="4"/>
  <c r="G524" i="4"/>
  <c r="G523" i="4"/>
  <c r="G522" i="4"/>
  <c r="G521" i="4"/>
  <c r="G520" i="4"/>
  <c r="G519" i="4"/>
  <c r="G518" i="4"/>
  <c r="G517" i="4"/>
  <c r="G516" i="4"/>
  <c r="G515" i="4"/>
  <c r="G514" i="4"/>
  <c r="G513" i="4"/>
  <c r="G512" i="4"/>
  <c r="G511" i="4"/>
  <c r="G510" i="4"/>
  <c r="G509" i="4"/>
  <c r="G508" i="4"/>
  <c r="G507" i="4"/>
  <c r="G506" i="4"/>
  <c r="G505" i="4"/>
  <c r="G504" i="4"/>
  <c r="G503" i="4"/>
  <c r="G502" i="4"/>
  <c r="G501" i="4"/>
  <c r="G500" i="4"/>
  <c r="G499" i="4"/>
  <c r="G498" i="4"/>
  <c r="G497" i="4"/>
  <c r="G496" i="4"/>
  <c r="G495" i="4"/>
  <c r="G494" i="4"/>
  <c r="G493" i="4"/>
  <c r="G492" i="4"/>
  <c r="G491" i="4"/>
  <c r="G490" i="4"/>
  <c r="G489" i="4"/>
  <c r="G488" i="4"/>
  <c r="G487" i="4"/>
  <c r="G486" i="4"/>
  <c r="G485" i="4"/>
  <c r="G482" i="4"/>
  <c r="G481" i="4"/>
  <c r="G480" i="4"/>
  <c r="G479" i="4"/>
  <c r="G478" i="4"/>
  <c r="G477" i="4"/>
  <c r="G476" i="4"/>
  <c r="G475" i="4"/>
  <c r="G474" i="4"/>
  <c r="G473" i="4"/>
  <c r="G472" i="4"/>
  <c r="G471" i="4"/>
  <c r="G470" i="4"/>
  <c r="G469" i="4"/>
  <c r="G468" i="4"/>
  <c r="G467" i="4"/>
  <c r="G466" i="4"/>
  <c r="G465" i="4"/>
  <c r="G464" i="4"/>
  <c r="G463" i="4"/>
  <c r="G462" i="4"/>
  <c r="G461" i="4"/>
  <c r="G460" i="4"/>
  <c r="G459" i="4"/>
  <c r="G458" i="4"/>
  <c r="G457" i="4"/>
  <c r="G456" i="4"/>
  <c r="G455" i="4"/>
  <c r="G454" i="4"/>
  <c r="G453" i="4"/>
  <c r="G452" i="4"/>
  <c r="G451" i="4"/>
  <c r="G450" i="4"/>
  <c r="G449" i="4"/>
  <c r="G448" i="4"/>
  <c r="G447" i="4"/>
  <c r="G446" i="4"/>
  <c r="G445" i="4"/>
  <c r="G444" i="4"/>
  <c r="G443" i="4"/>
  <c r="G442" i="4"/>
  <c r="G441" i="4"/>
  <c r="G440" i="4"/>
  <c r="G439" i="4"/>
  <c r="G438" i="4"/>
  <c r="G437" i="4"/>
  <c r="G436" i="4"/>
  <c r="G435" i="4"/>
  <c r="G434" i="4"/>
  <c r="G433" i="4"/>
  <c r="G432" i="4"/>
  <c r="G431" i="4"/>
  <c r="G430" i="4"/>
  <c r="G429" i="4"/>
  <c r="G428" i="4"/>
  <c r="G427" i="4"/>
  <c r="G426" i="4"/>
  <c r="G425" i="4"/>
  <c r="G424" i="4"/>
  <c r="G423" i="4"/>
  <c r="G422" i="4"/>
  <c r="G421" i="4"/>
  <c r="G420" i="4"/>
  <c r="G419" i="4"/>
  <c r="G418" i="4"/>
  <c r="G417" i="4"/>
  <c r="G416" i="4"/>
  <c r="G415" i="4"/>
  <c r="G414" i="4"/>
  <c r="G413" i="4"/>
  <c r="G410" i="4"/>
  <c r="G409" i="4"/>
  <c r="G408" i="4"/>
  <c r="G407" i="4"/>
  <c r="G406" i="4"/>
  <c r="G405" i="4"/>
  <c r="G404" i="4"/>
  <c r="G403" i="4"/>
  <c r="G402" i="4"/>
  <c r="G401" i="4"/>
  <c r="G400" i="4"/>
  <c r="G399" i="4"/>
  <c r="G398" i="4"/>
  <c r="G397" i="4"/>
  <c r="G396" i="4"/>
  <c r="G395" i="4"/>
  <c r="G394" i="4"/>
  <c r="G393" i="4"/>
  <c r="G392" i="4"/>
  <c r="G391" i="4"/>
  <c r="G390" i="4"/>
  <c r="G389" i="4"/>
  <c r="G388" i="4"/>
  <c r="G387" i="4"/>
  <c r="G386" i="4"/>
  <c r="G385" i="4"/>
  <c r="G384" i="4"/>
  <c r="G383" i="4"/>
  <c r="G382" i="4"/>
  <c r="G381" i="4"/>
  <c r="G380" i="4"/>
  <c r="G379" i="4"/>
  <c r="G378" i="4"/>
  <c r="G377" i="4"/>
  <c r="G376" i="4"/>
  <c r="G375" i="4"/>
  <c r="G374" i="4"/>
  <c r="G373" i="4"/>
  <c r="G372" i="4"/>
  <c r="G371" i="4"/>
  <c r="G370" i="4"/>
  <c r="G369" i="4"/>
  <c r="G368" i="4"/>
  <c r="G367" i="4"/>
  <c r="G366" i="4"/>
  <c r="G365" i="4"/>
  <c r="G364" i="4"/>
  <c r="G363" i="4"/>
  <c r="G362" i="4"/>
  <c r="G361" i="4"/>
  <c r="G360" i="4"/>
  <c r="G359" i="4"/>
  <c r="G358" i="4"/>
  <c r="G357" i="4"/>
  <c r="G356" i="4"/>
  <c r="G355" i="4"/>
  <c r="G354" i="4"/>
  <c r="G353" i="4"/>
  <c r="G352" i="4"/>
  <c r="G351" i="4"/>
  <c r="G350" i="4"/>
  <c r="G349" i="4"/>
  <c r="G348" i="4"/>
  <c r="G347" i="4"/>
  <c r="G346" i="4"/>
  <c r="G345" i="4"/>
  <c r="G344" i="4"/>
  <c r="G343" i="4"/>
  <c r="G342" i="4"/>
  <c r="G341" i="4"/>
  <c r="G340" i="4"/>
  <c r="G339" i="4"/>
  <c r="G338" i="4"/>
  <c r="G337" i="4"/>
  <c r="G336" i="4"/>
  <c r="G335" i="4"/>
  <c r="G334" i="4"/>
  <c r="G333" i="4"/>
  <c r="G332" i="4"/>
  <c r="G331" i="4"/>
  <c r="G330" i="4"/>
  <c r="G329" i="4"/>
  <c r="G328" i="4"/>
  <c r="G327" i="4"/>
  <c r="G326" i="4"/>
  <c r="G325" i="4"/>
  <c r="G324" i="4"/>
  <c r="G323" i="4"/>
  <c r="G322" i="4"/>
  <c r="G321" i="4"/>
  <c r="G320" i="4"/>
  <c r="G319" i="4"/>
  <c r="G318" i="4"/>
  <c r="G317" i="4"/>
  <c r="G316" i="4"/>
  <c r="G315" i="4"/>
  <c r="G314" i="4"/>
  <c r="G313" i="4"/>
  <c r="G312" i="4"/>
  <c r="G311" i="4"/>
  <c r="G307" i="4"/>
  <c r="G306" i="4"/>
  <c r="G305" i="4"/>
  <c r="G304" i="4"/>
  <c r="G303" i="4"/>
  <c r="G302" i="4"/>
  <c r="G301" i="4"/>
  <c r="G300" i="4"/>
  <c r="G299" i="4"/>
  <c r="G298" i="4"/>
  <c r="G297" i="4"/>
  <c r="G296" i="4"/>
  <c r="G295" i="4"/>
  <c r="G294" i="4"/>
  <c r="G293" i="4"/>
  <c r="G292" i="4"/>
  <c r="G291" i="4"/>
  <c r="G290" i="4"/>
  <c r="G289" i="4"/>
  <c r="G288" i="4"/>
  <c r="G287" i="4"/>
  <c r="G286" i="4"/>
  <c r="G285" i="4"/>
  <c r="G284" i="4"/>
  <c r="G283" i="4"/>
  <c r="G282" i="4"/>
  <c r="G281" i="4"/>
  <c r="G280" i="4"/>
  <c r="G279" i="4"/>
  <c r="G278" i="4"/>
  <c r="G277" i="4"/>
  <c r="G276" i="4"/>
  <c r="G275" i="4"/>
  <c r="G274" i="4"/>
  <c r="G273" i="4"/>
  <c r="G272" i="4"/>
  <c r="G271" i="4"/>
  <c r="G270" i="4"/>
  <c r="G269" i="4"/>
  <c r="G268" i="4"/>
  <c r="G267" i="4"/>
  <c r="G266" i="4"/>
  <c r="G265" i="4"/>
  <c r="G264" i="4"/>
  <c r="G263" i="4"/>
  <c r="G262" i="4"/>
  <c r="G261" i="4"/>
  <c r="G260" i="4"/>
  <c r="G259" i="4"/>
  <c r="G258" i="4"/>
  <c r="G257" i="4"/>
  <c r="G256" i="4"/>
  <c r="G255" i="4"/>
  <c r="G254" i="4"/>
  <c r="G253" i="4"/>
  <c r="G252" i="4"/>
  <c r="G251" i="4"/>
  <c r="G250" i="4"/>
  <c r="G249" i="4"/>
  <c r="G248" i="4"/>
  <c r="G247" i="4"/>
  <c r="G246" i="4"/>
  <c r="G245" i="4"/>
  <c r="G244" i="4"/>
  <c r="G243" i="4"/>
  <c r="G242" i="4"/>
  <c r="G241" i="4"/>
  <c r="G240" i="4"/>
  <c r="G239" i="4"/>
  <c r="G238" i="4"/>
  <c r="G237" i="4"/>
  <c r="G236" i="4"/>
  <c r="G235" i="4"/>
  <c r="G234" i="4"/>
  <c r="G233" i="4"/>
  <c r="G232" i="4"/>
  <c r="G231" i="4"/>
  <c r="G230" i="4"/>
  <c r="G229" i="4"/>
  <c r="G228" i="4"/>
  <c r="G227" i="4"/>
  <c r="G226" i="4"/>
  <c r="G225" i="4"/>
  <c r="G224" i="4"/>
  <c r="G223" i="4"/>
  <c r="G222" i="4"/>
  <c r="G221" i="4"/>
  <c r="G220" i="4"/>
  <c r="G219" i="4"/>
  <c r="G218" i="4"/>
  <c r="G217" i="4"/>
  <c r="G216" i="4"/>
  <c r="G215" i="4"/>
  <c r="G214" i="4"/>
  <c r="G213" i="4"/>
  <c r="G212" i="4"/>
  <c r="G211" i="4"/>
  <c r="G210" i="4"/>
  <c r="G209" i="4"/>
  <c r="G208" i="4"/>
  <c r="G205" i="4"/>
  <c r="G204" i="4"/>
  <c r="G203" i="4"/>
  <c r="G202" i="4"/>
  <c r="G201" i="4"/>
  <c r="G200" i="4"/>
  <c r="G199" i="4"/>
  <c r="G198" i="4"/>
  <c r="G197" i="4"/>
  <c r="G196" i="4"/>
  <c r="G195" i="4"/>
  <c r="G194" i="4"/>
  <c r="G193" i="4"/>
  <c r="G192" i="4"/>
  <c r="G191" i="4"/>
  <c r="G190" i="4"/>
  <c r="G189" i="4"/>
  <c r="G188" i="4"/>
  <c r="G187" i="4"/>
  <c r="G186" i="4"/>
  <c r="G185" i="4"/>
  <c r="G184" i="4"/>
  <c r="G183" i="4"/>
  <c r="G182" i="4"/>
  <c r="G181" i="4"/>
  <c r="G180" i="4"/>
  <c r="G179" i="4"/>
  <c r="G178" i="4"/>
  <c r="G177" i="4"/>
  <c r="G176" i="4"/>
  <c r="G175" i="4"/>
  <c r="G174" i="4"/>
  <c r="G173" i="4"/>
  <c r="G172" i="4"/>
  <c r="G171" i="4"/>
  <c r="G170" i="4"/>
  <c r="G169" i="4"/>
  <c r="G168" i="4"/>
  <c r="G167" i="4"/>
  <c r="G166" i="4"/>
  <c r="G165" i="4"/>
  <c r="G164" i="4"/>
  <c r="G163" i="4"/>
  <c r="G162" i="4"/>
  <c r="G161" i="4"/>
  <c r="G160" i="4"/>
  <c r="G159" i="4"/>
  <c r="G158" i="4"/>
  <c r="G157" i="4"/>
  <c r="G156" i="4"/>
  <c r="G155" i="4"/>
  <c r="G154" i="4"/>
  <c r="G153" i="4"/>
  <c r="G152" i="4"/>
  <c r="G151" i="4"/>
  <c r="G150" i="4"/>
  <c r="G149" i="4"/>
  <c r="G148" i="4"/>
  <c r="G147" i="4"/>
  <c r="G146" i="4"/>
  <c r="G145" i="4"/>
  <c r="G144" i="4"/>
  <c r="G143" i="4"/>
  <c r="G142" i="4"/>
  <c r="G141" i="4"/>
  <c r="G140" i="4"/>
  <c r="G139" i="4"/>
  <c r="G138" i="4"/>
  <c r="G137" i="4"/>
  <c r="G136" i="4"/>
  <c r="G135" i="4"/>
  <c r="G134" i="4"/>
  <c r="G133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G4" i="4"/>
  <c r="G789" i="3"/>
  <c r="G788" i="3"/>
  <c r="G787" i="3"/>
  <c r="G786" i="3"/>
  <c r="G785" i="3"/>
  <c r="G784" i="3"/>
  <c r="G783" i="3"/>
  <c r="G782" i="3"/>
  <c r="G781" i="3"/>
  <c r="G780" i="3"/>
  <c r="G779" i="3"/>
  <c r="G778" i="3"/>
  <c r="G777" i="3"/>
  <c r="G776" i="3"/>
  <c r="G775" i="3"/>
  <c r="G774" i="3"/>
  <c r="G773" i="3"/>
  <c r="G772" i="3"/>
  <c r="G771" i="3"/>
  <c r="G770" i="3"/>
  <c r="G769" i="3"/>
  <c r="G768" i="3"/>
  <c r="G767" i="3"/>
  <c r="G766" i="3"/>
  <c r="G765" i="3"/>
  <c r="G764" i="3"/>
  <c r="G763" i="3"/>
  <c r="G762" i="3"/>
  <c r="G761" i="3"/>
  <c r="G760" i="3"/>
  <c r="G759" i="3"/>
  <c r="G758" i="3"/>
  <c r="G757" i="3"/>
  <c r="G756" i="3"/>
  <c r="G755" i="3"/>
  <c r="G754" i="3"/>
  <c r="G753" i="3"/>
  <c r="G752" i="3"/>
  <c r="G751" i="3"/>
  <c r="G750" i="3"/>
  <c r="G749" i="3"/>
  <c r="G748" i="3"/>
  <c r="G747" i="3"/>
  <c r="G746" i="3"/>
  <c r="G745" i="3"/>
  <c r="G744" i="3"/>
  <c r="G743" i="3"/>
  <c r="G742" i="3"/>
  <c r="G741" i="3"/>
  <c r="G740" i="3"/>
  <c r="G739" i="3"/>
  <c r="G738" i="3"/>
  <c r="G737" i="3"/>
  <c r="G736" i="3"/>
  <c r="G735" i="3"/>
  <c r="G734" i="3"/>
  <c r="G733" i="3"/>
  <c r="G732" i="3"/>
  <c r="G731" i="3"/>
  <c r="G730" i="3"/>
  <c r="G729" i="3"/>
  <c r="G728" i="3"/>
  <c r="G727" i="3"/>
  <c r="G726" i="3"/>
  <c r="G725" i="3"/>
  <c r="G724" i="3"/>
  <c r="G723" i="3"/>
  <c r="G722" i="3"/>
  <c r="G721" i="3"/>
  <c r="G720" i="3"/>
  <c r="G719" i="3"/>
  <c r="G718" i="3"/>
  <c r="G717" i="3"/>
  <c r="G716" i="3"/>
  <c r="G715" i="3"/>
  <c r="G714" i="3"/>
  <c r="G713" i="3"/>
  <c r="G712" i="3"/>
  <c r="G711" i="3"/>
  <c r="G710" i="3"/>
  <c r="G709" i="3"/>
  <c r="G708" i="3"/>
  <c r="G707" i="3"/>
  <c r="G706" i="3"/>
  <c r="G705" i="3"/>
  <c r="G704" i="3"/>
  <c r="G703" i="3"/>
  <c r="G702" i="3"/>
  <c r="G701" i="3"/>
  <c r="G700" i="3"/>
  <c r="G699" i="3"/>
  <c r="G698" i="3"/>
  <c r="G697" i="3"/>
  <c r="G696" i="3"/>
  <c r="G695" i="3"/>
  <c r="G694" i="3"/>
  <c r="G693" i="3"/>
  <c r="G692" i="3"/>
  <c r="G691" i="3"/>
  <c r="G690" i="3"/>
  <c r="G687" i="3"/>
  <c r="G686" i="3"/>
  <c r="G685" i="3"/>
  <c r="G684" i="3"/>
  <c r="G683" i="3"/>
  <c r="G682" i="3"/>
  <c r="G681" i="3"/>
  <c r="G680" i="3"/>
  <c r="G679" i="3"/>
  <c r="G678" i="3"/>
  <c r="G677" i="3"/>
  <c r="G676" i="3"/>
  <c r="G675" i="3"/>
  <c r="G674" i="3"/>
  <c r="G673" i="3"/>
  <c r="G672" i="3"/>
  <c r="G671" i="3"/>
  <c r="G670" i="3"/>
  <c r="G669" i="3"/>
  <c r="G668" i="3"/>
  <c r="G667" i="3"/>
  <c r="G666" i="3"/>
  <c r="G665" i="3"/>
  <c r="G664" i="3"/>
  <c r="G663" i="3"/>
  <c r="G662" i="3"/>
  <c r="G661" i="3"/>
  <c r="G660" i="3"/>
  <c r="G659" i="3"/>
  <c r="G658" i="3"/>
  <c r="G657" i="3"/>
  <c r="G656" i="3"/>
  <c r="G655" i="3"/>
  <c r="G654" i="3"/>
  <c r="G653" i="3"/>
  <c r="G652" i="3"/>
  <c r="G651" i="3"/>
  <c r="G650" i="3"/>
  <c r="G649" i="3"/>
  <c r="G648" i="3"/>
  <c r="G647" i="3"/>
  <c r="G646" i="3"/>
  <c r="G645" i="3"/>
  <c r="G644" i="3"/>
  <c r="G643" i="3"/>
  <c r="G642" i="3"/>
  <c r="G641" i="3"/>
  <c r="G640" i="3"/>
  <c r="G639" i="3"/>
  <c r="G638" i="3"/>
  <c r="G637" i="3"/>
  <c r="G636" i="3"/>
  <c r="G635" i="3"/>
  <c r="G634" i="3"/>
  <c r="G633" i="3"/>
  <c r="G632" i="3"/>
  <c r="G631" i="3"/>
  <c r="G630" i="3"/>
  <c r="G629" i="3"/>
  <c r="G628" i="3"/>
  <c r="G627" i="3"/>
  <c r="G626" i="3"/>
  <c r="G625" i="3"/>
  <c r="G624" i="3"/>
  <c r="G623" i="3"/>
  <c r="G622" i="3"/>
  <c r="G621" i="3"/>
  <c r="G620" i="3"/>
  <c r="G619" i="3"/>
  <c r="G618" i="3"/>
  <c r="G617" i="3"/>
  <c r="G616" i="3"/>
  <c r="G615" i="3"/>
  <c r="G614" i="3"/>
  <c r="G613" i="3"/>
  <c r="G612" i="3"/>
  <c r="G611" i="3"/>
  <c r="G610" i="3"/>
  <c r="G609" i="3"/>
  <c r="G608" i="3"/>
  <c r="G607" i="3"/>
  <c r="G606" i="3"/>
  <c r="G605" i="3"/>
  <c r="G604" i="3"/>
  <c r="G603" i="3"/>
  <c r="G602" i="3"/>
  <c r="G601" i="3"/>
  <c r="G600" i="3"/>
  <c r="G599" i="3"/>
  <c r="G598" i="3"/>
  <c r="G597" i="3"/>
  <c r="G596" i="3"/>
  <c r="G595" i="3"/>
  <c r="G594" i="3"/>
  <c r="G593" i="3"/>
  <c r="G592" i="3"/>
  <c r="G591" i="3"/>
  <c r="G590" i="3"/>
  <c r="G589" i="3"/>
  <c r="G588" i="3"/>
  <c r="G585" i="3"/>
  <c r="G584" i="3"/>
  <c r="G583" i="3"/>
  <c r="G582" i="3"/>
  <c r="G581" i="3"/>
  <c r="G580" i="3"/>
  <c r="G579" i="3"/>
  <c r="G578" i="3"/>
  <c r="G577" i="3"/>
  <c r="G576" i="3"/>
  <c r="G575" i="3"/>
  <c r="G574" i="3"/>
  <c r="G573" i="3"/>
  <c r="G572" i="3"/>
  <c r="G571" i="3"/>
  <c r="G570" i="3"/>
  <c r="G569" i="3"/>
  <c r="G568" i="3"/>
  <c r="G567" i="3"/>
  <c r="G566" i="3"/>
  <c r="G565" i="3"/>
  <c r="G564" i="3"/>
  <c r="G563" i="3"/>
  <c r="G562" i="3"/>
  <c r="G561" i="3"/>
  <c r="G560" i="3"/>
  <c r="G559" i="3"/>
  <c r="G558" i="3"/>
  <c r="G557" i="3"/>
  <c r="G556" i="3"/>
  <c r="G555" i="3"/>
  <c r="G554" i="3"/>
  <c r="G553" i="3"/>
  <c r="G552" i="3"/>
  <c r="G551" i="3"/>
  <c r="G550" i="3"/>
  <c r="G549" i="3"/>
  <c r="G548" i="3"/>
  <c r="G547" i="3"/>
  <c r="G546" i="3"/>
  <c r="G545" i="3"/>
  <c r="G544" i="3"/>
  <c r="G543" i="3"/>
  <c r="G542" i="3"/>
  <c r="G541" i="3"/>
  <c r="G540" i="3"/>
  <c r="G539" i="3"/>
  <c r="G538" i="3"/>
  <c r="G537" i="3"/>
  <c r="G536" i="3"/>
  <c r="G535" i="3"/>
  <c r="G534" i="3"/>
  <c r="G533" i="3"/>
  <c r="G532" i="3"/>
  <c r="G531" i="3"/>
  <c r="G530" i="3"/>
  <c r="G529" i="3"/>
  <c r="G528" i="3"/>
  <c r="G527" i="3"/>
  <c r="G526" i="3"/>
  <c r="G525" i="3"/>
  <c r="G524" i="3"/>
  <c r="G523" i="3"/>
  <c r="G522" i="3"/>
  <c r="G521" i="3"/>
  <c r="G520" i="3"/>
  <c r="G519" i="3"/>
  <c r="G518" i="3"/>
  <c r="G517" i="3"/>
  <c r="G516" i="3"/>
  <c r="G515" i="3"/>
  <c r="G514" i="3"/>
  <c r="G513" i="3"/>
  <c r="G512" i="3"/>
  <c r="G511" i="3"/>
  <c r="G510" i="3"/>
  <c r="G509" i="3"/>
  <c r="G508" i="3"/>
  <c r="G507" i="3"/>
  <c r="G506" i="3"/>
  <c r="G505" i="3"/>
  <c r="G504" i="3"/>
  <c r="G503" i="3"/>
  <c r="G502" i="3"/>
  <c r="G501" i="3"/>
  <c r="G500" i="3"/>
  <c r="G497" i="3"/>
  <c r="G496" i="3"/>
  <c r="G495" i="3"/>
  <c r="G494" i="3"/>
  <c r="G493" i="3"/>
  <c r="G492" i="3"/>
  <c r="G491" i="3"/>
  <c r="G490" i="3"/>
  <c r="G489" i="3"/>
  <c r="G488" i="3"/>
  <c r="G487" i="3"/>
  <c r="G486" i="3"/>
  <c r="G485" i="3"/>
  <c r="G484" i="3"/>
  <c r="G483" i="3"/>
  <c r="G482" i="3"/>
  <c r="G481" i="3"/>
  <c r="G480" i="3"/>
  <c r="G479" i="3"/>
  <c r="G478" i="3"/>
  <c r="G477" i="3"/>
  <c r="G476" i="3"/>
  <c r="G475" i="3"/>
  <c r="G474" i="3"/>
  <c r="G473" i="3"/>
  <c r="G472" i="3"/>
  <c r="G471" i="3"/>
  <c r="G470" i="3"/>
  <c r="G469" i="3"/>
  <c r="G468" i="3"/>
  <c r="G467" i="3"/>
  <c r="G466" i="3"/>
  <c r="G465" i="3"/>
  <c r="G464" i="3"/>
  <c r="G463" i="3"/>
  <c r="G462" i="3"/>
  <c r="G461" i="3"/>
  <c r="G460" i="3"/>
  <c r="G459" i="3"/>
  <c r="G458" i="3"/>
  <c r="G457" i="3"/>
  <c r="G456" i="3"/>
  <c r="G455" i="3"/>
  <c r="G454" i="3"/>
  <c r="G453" i="3"/>
  <c r="G452" i="3"/>
  <c r="G451" i="3"/>
  <c r="G450" i="3"/>
  <c r="G449" i="3"/>
  <c r="G448" i="3"/>
  <c r="G447" i="3"/>
  <c r="G446" i="3"/>
  <c r="G445" i="3"/>
  <c r="G444" i="3"/>
  <c r="G443" i="3"/>
  <c r="G442" i="3"/>
  <c r="G441" i="3"/>
  <c r="G440" i="3"/>
  <c r="G439" i="3"/>
  <c r="G438" i="3"/>
  <c r="G437" i="3"/>
  <c r="G436" i="3"/>
  <c r="G435" i="3"/>
  <c r="G434" i="3"/>
  <c r="G433" i="3"/>
  <c r="G432" i="3"/>
  <c r="G431" i="3"/>
  <c r="G430" i="3"/>
  <c r="G429" i="3"/>
  <c r="G428" i="3"/>
  <c r="G427" i="3"/>
  <c r="G426" i="3"/>
  <c r="G425" i="3"/>
  <c r="G424" i="3"/>
  <c r="G423" i="3"/>
  <c r="G422" i="3"/>
  <c r="G421" i="3"/>
  <c r="G420" i="3"/>
  <c r="G419" i="3"/>
  <c r="G418" i="3"/>
  <c r="G417" i="3"/>
  <c r="G416" i="3"/>
  <c r="G415" i="3"/>
  <c r="G414" i="3"/>
  <c r="G413" i="3"/>
  <c r="G410" i="3"/>
  <c r="G409" i="3"/>
  <c r="G408" i="3"/>
  <c r="G407" i="3"/>
  <c r="G406" i="3"/>
  <c r="G405" i="3"/>
  <c r="G404" i="3"/>
  <c r="G403" i="3"/>
  <c r="G402" i="3"/>
  <c r="G401" i="3"/>
  <c r="G400" i="3"/>
  <c r="G399" i="3"/>
  <c r="G398" i="3"/>
  <c r="G397" i="3"/>
  <c r="G396" i="3"/>
  <c r="G395" i="3"/>
  <c r="G394" i="3"/>
  <c r="G393" i="3"/>
  <c r="G392" i="3"/>
  <c r="G391" i="3"/>
  <c r="G390" i="3"/>
  <c r="G389" i="3"/>
  <c r="G388" i="3"/>
  <c r="G387" i="3"/>
  <c r="G386" i="3"/>
  <c r="G385" i="3"/>
  <c r="G384" i="3"/>
  <c r="G383" i="3"/>
  <c r="G382" i="3"/>
  <c r="G381" i="3"/>
  <c r="G380" i="3"/>
  <c r="G379" i="3"/>
  <c r="G378" i="3"/>
  <c r="G377" i="3"/>
  <c r="G376" i="3"/>
  <c r="G375" i="3"/>
  <c r="G374" i="3"/>
  <c r="G373" i="3"/>
  <c r="G372" i="3"/>
  <c r="G371" i="3"/>
  <c r="G370" i="3"/>
  <c r="G369" i="3"/>
  <c r="G368" i="3"/>
  <c r="G367" i="3"/>
  <c r="G366" i="3"/>
  <c r="G365" i="3"/>
  <c r="G364" i="3"/>
  <c r="G363" i="3"/>
  <c r="G362" i="3"/>
  <c r="G361" i="3"/>
  <c r="G360" i="3"/>
  <c r="G359" i="3"/>
  <c r="G358" i="3"/>
  <c r="G357" i="3"/>
  <c r="G356" i="3"/>
  <c r="G355" i="3"/>
  <c r="G354" i="3"/>
  <c r="G353" i="3"/>
  <c r="G352" i="3"/>
  <c r="G351" i="3"/>
  <c r="G350" i="3"/>
  <c r="G349" i="3"/>
  <c r="G348" i="3"/>
  <c r="G347" i="3"/>
  <c r="G346" i="3"/>
  <c r="G345" i="3"/>
  <c r="G344" i="3"/>
  <c r="G343" i="3"/>
  <c r="G342" i="3"/>
  <c r="G341" i="3"/>
  <c r="G340" i="3"/>
  <c r="G339" i="3"/>
  <c r="G338" i="3"/>
  <c r="G337" i="3"/>
  <c r="G336" i="3"/>
  <c r="G335" i="3"/>
  <c r="G334" i="3"/>
  <c r="G333" i="3"/>
  <c r="G332" i="3"/>
  <c r="G331" i="3"/>
  <c r="G330" i="3"/>
  <c r="G329" i="3"/>
  <c r="G328" i="3"/>
  <c r="G327" i="3"/>
  <c r="G326" i="3"/>
  <c r="G325" i="3"/>
  <c r="G324" i="3"/>
  <c r="G323" i="3"/>
  <c r="G322" i="3"/>
  <c r="G321" i="3"/>
  <c r="G320" i="3"/>
  <c r="G319" i="3"/>
  <c r="G318" i="3"/>
  <c r="G317" i="3"/>
  <c r="G316" i="3"/>
  <c r="G315" i="3"/>
  <c r="G314" i="3"/>
  <c r="G313" i="3"/>
  <c r="G312" i="3"/>
  <c r="G311" i="3"/>
  <c r="G307" i="3"/>
  <c r="G306" i="3"/>
  <c r="G305" i="3"/>
  <c r="G304" i="3"/>
  <c r="G303" i="3"/>
  <c r="G302" i="3"/>
  <c r="G301" i="3"/>
  <c r="G300" i="3"/>
  <c r="G299" i="3"/>
  <c r="G298" i="3"/>
  <c r="G297" i="3"/>
  <c r="G296" i="3"/>
  <c r="G295" i="3"/>
  <c r="G294" i="3"/>
  <c r="G293" i="3"/>
  <c r="G292" i="3"/>
  <c r="G291" i="3"/>
  <c r="G290" i="3"/>
  <c r="G289" i="3"/>
  <c r="G288" i="3"/>
  <c r="G287" i="3"/>
  <c r="G286" i="3"/>
  <c r="G285" i="3"/>
  <c r="G284" i="3"/>
  <c r="G283" i="3"/>
  <c r="G282" i="3"/>
  <c r="G281" i="3"/>
  <c r="G280" i="3"/>
  <c r="G279" i="3"/>
  <c r="G278" i="3"/>
  <c r="G277" i="3"/>
  <c r="G276" i="3"/>
  <c r="G275" i="3"/>
  <c r="G274" i="3"/>
  <c r="G273" i="3"/>
  <c r="G272" i="3"/>
  <c r="G271" i="3"/>
  <c r="G270" i="3"/>
  <c r="G269" i="3"/>
  <c r="G268" i="3"/>
  <c r="G267" i="3"/>
  <c r="G266" i="3"/>
  <c r="G265" i="3"/>
  <c r="G264" i="3"/>
  <c r="G263" i="3"/>
  <c r="G262" i="3"/>
  <c r="G261" i="3"/>
  <c r="G260" i="3"/>
  <c r="G259" i="3"/>
  <c r="G258" i="3"/>
  <c r="G257" i="3"/>
  <c r="G256" i="3"/>
  <c r="G255" i="3"/>
  <c r="G254" i="3"/>
  <c r="G253" i="3"/>
  <c r="G252" i="3"/>
  <c r="G251" i="3"/>
  <c r="G250" i="3"/>
  <c r="G249" i="3"/>
  <c r="G248" i="3"/>
  <c r="G247" i="3"/>
  <c r="G246" i="3"/>
  <c r="G245" i="3"/>
  <c r="G244" i="3"/>
  <c r="G243" i="3"/>
  <c r="G242" i="3"/>
  <c r="G241" i="3"/>
  <c r="G240" i="3"/>
  <c r="G239" i="3"/>
  <c r="G238" i="3"/>
  <c r="G237" i="3"/>
  <c r="G236" i="3"/>
  <c r="G235" i="3"/>
  <c r="G234" i="3"/>
  <c r="G233" i="3"/>
  <c r="G232" i="3"/>
  <c r="G231" i="3"/>
  <c r="G230" i="3"/>
  <c r="G229" i="3"/>
  <c r="G228" i="3"/>
  <c r="G227" i="3"/>
  <c r="G226" i="3"/>
  <c r="G225" i="3"/>
  <c r="G224" i="3"/>
  <c r="G223" i="3"/>
  <c r="G222" i="3"/>
  <c r="G221" i="3"/>
  <c r="G220" i="3"/>
  <c r="G219" i="3"/>
  <c r="G218" i="3"/>
  <c r="G217" i="3"/>
  <c r="G216" i="3"/>
  <c r="G215" i="3"/>
  <c r="G214" i="3"/>
  <c r="G213" i="3"/>
  <c r="G212" i="3"/>
  <c r="G211" i="3"/>
  <c r="G210" i="3"/>
  <c r="G209" i="3"/>
  <c r="G208" i="3"/>
  <c r="G205" i="3"/>
  <c r="G204" i="3"/>
  <c r="G203" i="3"/>
  <c r="G202" i="3"/>
  <c r="G201" i="3"/>
  <c r="G200" i="3"/>
  <c r="G199" i="3"/>
  <c r="G198" i="3"/>
  <c r="G197" i="3"/>
  <c r="G196" i="3"/>
  <c r="G195" i="3"/>
  <c r="G194" i="3"/>
  <c r="G193" i="3"/>
  <c r="G192" i="3"/>
  <c r="G191" i="3"/>
  <c r="G190" i="3"/>
  <c r="G189" i="3"/>
  <c r="G188" i="3"/>
  <c r="G187" i="3"/>
  <c r="G186" i="3"/>
  <c r="G185" i="3"/>
  <c r="G184" i="3"/>
  <c r="G183" i="3"/>
  <c r="G182" i="3"/>
  <c r="G181" i="3"/>
  <c r="G180" i="3"/>
  <c r="G179" i="3"/>
  <c r="G178" i="3"/>
  <c r="G177" i="3"/>
  <c r="G176" i="3"/>
  <c r="G175" i="3"/>
  <c r="G174" i="3"/>
  <c r="G173" i="3"/>
  <c r="G172" i="3"/>
  <c r="G171" i="3"/>
  <c r="G170" i="3"/>
  <c r="G169" i="3"/>
  <c r="G168" i="3"/>
  <c r="G167" i="3"/>
  <c r="G166" i="3"/>
  <c r="G165" i="3"/>
  <c r="G164" i="3"/>
  <c r="G163" i="3"/>
  <c r="G162" i="3"/>
  <c r="G161" i="3"/>
  <c r="G160" i="3"/>
  <c r="G159" i="3"/>
  <c r="G158" i="3"/>
  <c r="G157" i="3"/>
  <c r="G156" i="3"/>
  <c r="G155" i="3"/>
  <c r="G154" i="3"/>
  <c r="G153" i="3"/>
  <c r="G152" i="3"/>
  <c r="G151" i="3"/>
  <c r="G150" i="3"/>
  <c r="G149" i="3"/>
  <c r="G148" i="3"/>
  <c r="G147" i="3"/>
  <c r="G146" i="3"/>
  <c r="G145" i="3"/>
  <c r="G144" i="3"/>
  <c r="G143" i="3"/>
  <c r="G142" i="3"/>
  <c r="G141" i="3"/>
  <c r="G140" i="3"/>
  <c r="G139" i="3"/>
  <c r="G138" i="3"/>
  <c r="G137" i="3"/>
  <c r="G136" i="3"/>
  <c r="G135" i="3"/>
  <c r="G134" i="3"/>
  <c r="G133" i="3"/>
  <c r="G132" i="3"/>
  <c r="G131" i="3"/>
  <c r="G130" i="3"/>
  <c r="G129" i="3"/>
  <c r="G128" i="3"/>
  <c r="G127" i="3"/>
  <c r="G126" i="3"/>
  <c r="G125" i="3"/>
  <c r="G124" i="3"/>
  <c r="G123" i="3"/>
  <c r="G122" i="3"/>
  <c r="G121" i="3"/>
  <c r="G120" i="3"/>
  <c r="G119" i="3"/>
  <c r="G118" i="3"/>
  <c r="G117" i="3"/>
  <c r="G116" i="3"/>
  <c r="G115" i="3"/>
  <c r="G114" i="3"/>
  <c r="G113" i="3"/>
  <c r="G112" i="3"/>
  <c r="G111" i="3"/>
  <c r="G110" i="3"/>
  <c r="G109" i="3"/>
  <c r="G108" i="3"/>
  <c r="G107" i="3"/>
  <c r="G106" i="3"/>
  <c r="G103" i="3"/>
  <c r="G102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879" i="1"/>
  <c r="G878" i="1"/>
  <c r="G877" i="1"/>
  <c r="G876" i="1"/>
  <c r="G875" i="1"/>
  <c r="G874" i="1"/>
  <c r="G873" i="1"/>
  <c r="G872" i="1"/>
  <c r="G871" i="1"/>
  <c r="G870" i="1"/>
  <c r="G869" i="1"/>
  <c r="G868" i="1"/>
  <c r="G867" i="1"/>
  <c r="G866" i="1"/>
  <c r="G865" i="1"/>
  <c r="G864" i="1"/>
  <c r="G863" i="1"/>
  <c r="G862" i="1"/>
  <c r="G861" i="1"/>
  <c r="G860" i="1"/>
  <c r="G859" i="1"/>
  <c r="G858" i="1"/>
  <c r="G857" i="1"/>
  <c r="G856" i="1"/>
  <c r="G855" i="1"/>
  <c r="G854" i="1"/>
  <c r="G853" i="1"/>
  <c r="G852" i="1"/>
  <c r="G851" i="1"/>
  <c r="G850" i="1"/>
  <c r="G849" i="1"/>
  <c r="G848" i="1"/>
  <c r="G847" i="1"/>
  <c r="G846" i="1"/>
  <c r="G845" i="1"/>
  <c r="G844" i="1"/>
  <c r="G843" i="1"/>
  <c r="G842" i="1"/>
  <c r="G841" i="1"/>
  <c r="G840" i="1"/>
  <c r="G839" i="1"/>
  <c r="G838" i="1"/>
  <c r="G837" i="1"/>
  <c r="G836" i="1"/>
  <c r="G835" i="1"/>
  <c r="G834" i="1"/>
  <c r="G833" i="1"/>
  <c r="G832" i="1"/>
  <c r="G831" i="1"/>
  <c r="G830" i="1"/>
  <c r="G829" i="1"/>
  <c r="G828" i="1"/>
  <c r="G827" i="1"/>
  <c r="G826" i="1"/>
  <c r="G825" i="1"/>
  <c r="G824" i="1"/>
  <c r="G823" i="1"/>
  <c r="G822" i="1"/>
  <c r="G821" i="1"/>
  <c r="G820" i="1"/>
  <c r="G819" i="1"/>
  <c r="G818" i="1"/>
  <c r="G817" i="1"/>
  <c r="G816" i="1"/>
  <c r="G815" i="1"/>
  <c r="G814" i="1"/>
  <c r="G813" i="1"/>
  <c r="G812" i="1"/>
  <c r="G811" i="1"/>
  <c r="G810" i="1"/>
  <c r="G809" i="1"/>
  <c r="G808" i="1"/>
  <c r="G807" i="1"/>
  <c r="G806" i="1"/>
  <c r="G805" i="1"/>
  <c r="G804" i="1"/>
  <c r="G803" i="1"/>
  <c r="G802" i="1"/>
  <c r="G801" i="1"/>
  <c r="G800" i="1"/>
  <c r="G799" i="1"/>
  <c r="G798" i="1"/>
  <c r="G797" i="1"/>
  <c r="G796" i="1"/>
  <c r="G795" i="1"/>
  <c r="G794" i="1"/>
  <c r="G793" i="1"/>
  <c r="G792" i="1"/>
  <c r="G791" i="1"/>
  <c r="G790" i="1"/>
  <c r="G789" i="1"/>
  <c r="G788" i="1"/>
  <c r="G787" i="1"/>
  <c r="G786" i="1"/>
  <c r="G785" i="1"/>
  <c r="G784" i="1"/>
  <c r="G783" i="1"/>
  <c r="G782" i="1"/>
  <c r="G781" i="1"/>
  <c r="G780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</calcChain>
</file>

<file path=xl/sharedStrings.xml><?xml version="1.0" encoding="utf-8"?>
<sst xmlns="http://schemas.openxmlformats.org/spreadsheetml/2006/main" count="6307" uniqueCount="1461">
  <si>
    <t>Armbor1 S7.3</t>
  </si>
  <si>
    <t xml:space="preserve">cds746685_748865 S7.3 Armbor 1 </t>
  </si>
  <si>
    <t>Description</t>
  </si>
  <si>
    <t>Max Score</t>
  </si>
  <si>
    <t>Total Score</t>
  </si>
  <si>
    <t>Query Cover</t>
  </si>
  <si>
    <t>E value</t>
  </si>
  <si>
    <t>Per. ident</t>
  </si>
  <si>
    <t xml:space="preserve">Accession  </t>
  </si>
  <si>
    <t>Armillaria ostoyae strain C18/9 genome assembly, chromosome: LG5</t>
  </si>
  <si>
    <t>Pleurotus ostreatus mRNA, regulated by blue-light stimulation, clone: MK-2010-02</t>
  </si>
  <si>
    <t>Pleurotus ostreatus mRNA, regulated by blue-light stimulation, clone: MK-2010-30</t>
  </si>
  <si>
    <t>Pleurotus ostreatus uncharacterized protein (PC9H_009561), partial mRNA</t>
  </si>
  <si>
    <t>Mycena indigotica C2 domain-containing protein (MIND_00220200), partial mRNA</t>
  </si>
  <si>
    <t>Agaricus bisporus var. burnettii JB137-S8 hypothetical protein (AGABI1DRAFT_59499), mRNA</t>
  </si>
  <si>
    <t>Agaricus bisporus var. bisporus H97 hypothetical protein (AGABI2DRAFT_218206), mRNA</t>
  </si>
  <si>
    <t>Agaricus bisporus strain KMCC00540 chromosome 5</t>
  </si>
  <si>
    <t>Agaricus bisporus var. bisporus H97 chromosome 5, complete sequence</t>
  </si>
  <si>
    <t>Agaricus bisporus var. bisporus strain H39 chromosome 5, complete sequence</t>
  </si>
  <si>
    <t>Laccaria bicolor S238N-H82 hypothetical protein partial mRNA</t>
  </si>
  <si>
    <t>Mucor circinelloides f. circinelloides strain Mucho SideA gene, complete cds</t>
  </si>
  <si>
    <t>Heterobasidion irregulare TC 32-1 hypothetical protein partial mRNA</t>
  </si>
  <si>
    <t>Coprinopsis cinerea okayama7#130 hypothetical protein (CC1G_07068), partial mRNA</t>
  </si>
  <si>
    <t>Stereum hirsutum FP-91666 SS1 hypothetical protein (STEHIDRAFT_91418), mRNA</t>
  </si>
  <si>
    <t>Mycena indigotica uncharacterized protein (MIND_00220300), partial mRNA</t>
  </si>
  <si>
    <t>Agaricus bisporus var. burnettii JB137-S8 hypothetical protein (AGABI1DRAFT_121041), mRNA</t>
  </si>
  <si>
    <t>Agaricus bisporus var. bisporus H97 hypothetical protein (AGABI2DRAFT_183956), mRNA</t>
  </si>
  <si>
    <t>Lichtheimia ramosa strain KPH11 chromosome 08, complete sequence</t>
  </si>
  <si>
    <t>Lichtheimia ramosa strain JMRC FSU:6197 genome assembly, scaffold: SCAF3</t>
  </si>
  <si>
    <t>Pleurotus ostreatus uncharacterized protein (PC9H_009560), partial mRNA</t>
  </si>
  <si>
    <t>Lichtheimia ramosa strain KPH11 chromosome 03, complete sequence</t>
  </si>
  <si>
    <t>Lichtheimia ramosa strain JMRC FSU:6197 genome assembly, scaffold: SCAF1</t>
  </si>
  <si>
    <t>Phycomyces blakesleeanus NRRL 1555(-) hypothetical protein mRNA</t>
  </si>
  <si>
    <t>Stereum hirsutum FP-91666 SS1 hypothetical protein (STEHIDRAFT_91415), mRNA</t>
  </si>
  <si>
    <t>Coprinopsis cinerea okayama7#130 hypothetical protein (CC1G_07067), partial mRNA</t>
  </si>
  <si>
    <t>Rhizopus microsporus ATCC 52813 hypothetical protein (RHIMIDRAFT_247918), partial mRNA</t>
  </si>
  <si>
    <t>Aspergillus niger contig An05c0050, genomic contig</t>
  </si>
  <si>
    <t>Armillaria ostoyae strain C18/9 genome assembly, chromosome: LG11</t>
  </si>
  <si>
    <t>Chaetomium globosum CBS 148.51 hypothetical protein (CHGG_05341) partial mRNA</t>
  </si>
  <si>
    <t>Rhizophagus irregularis DAOM 181602=DAOM 197198 hypothetical protein (GLOIN_2v1590112), mRNA</t>
  </si>
  <si>
    <t>Aspergillus bombycis hypothetical protein (ABOM_004343), partial mRNA</t>
  </si>
  <si>
    <t>Aspergillus alliaceus IucC family-domain-containing protein (BDW43DRAFT_303443), partial mRNA</t>
  </si>
  <si>
    <t>Aspergillus nomius NRRL 13137 uncharacterized protein (ANOM_008953), partial mRNA</t>
  </si>
  <si>
    <t>Aspergillus glaucus CBS 516.65 hypothetical protein (ASPGLDRAFT_67965), partial mRNA</t>
  </si>
  <si>
    <t>Aspergillus tanneri siderophore (ATNIH1004_007448), partial mRNA</t>
  </si>
  <si>
    <t>Pseudocercospora fijiensis CIRAD86 uncharacterized protein (MYCFIDRAFT_162844), mRNA</t>
  </si>
  <si>
    <t>Aspergillus flavus NRRL3357 conserved hypothetical protein (AFLA_107120), partial mRNA</t>
  </si>
  <si>
    <t>Aspergillus pseudonomius IucC family-domain-containing protein (BDV37DRAFT_295393), partial mRNA</t>
  </si>
  <si>
    <t>Fonticula alba hypothetical protein mRNA</t>
  </si>
  <si>
    <t>Aspergillus terreus NIH2624 predicted protein (ATEG_09295) partial mRNA</t>
  </si>
  <si>
    <t>Aspergillus pseudotamarii IucC family-domain-containing protein (BDV38DRAFT_277513), partial mRNA</t>
  </si>
  <si>
    <t>Aspergillus eucalypticola CBS 122712 uncharacterized protein (BO83DRAFT_339624), partial mRNA</t>
  </si>
  <si>
    <t>Zymoseptoria tritici IPO323 uncharacterized protein (MYCGRDRAFT_23189), partial mRNA</t>
  </si>
  <si>
    <t>Aspergillus vadensis CBS 113365 hypothetical protein (BO88DRAFT_368042), mRNA</t>
  </si>
  <si>
    <t>Zymoseptoria tritici ST99CH_3D7 genome assembly, chromosome: 1</t>
  </si>
  <si>
    <t>Aspergillus caelatus IucC family-domain-containing protein (BDV27DRAFT_167169), partial mRNA</t>
  </si>
  <si>
    <t>Aspergillus steynii IBT 23096 uncharacterized protein (P170DRAFT_364958), partial mRNA</t>
  </si>
  <si>
    <t>Zymoseptoria tritici ST99CH_1E4 genome assembly, chromosome: ZT1E4_chr_1</t>
  </si>
  <si>
    <t>Zymoseptoria tritici ST99CH_3D1 genome assembly, chromosome: ZT3D1_chr_1</t>
  </si>
  <si>
    <t>Zymoseptoria tritici ST99CH_1A5 genome assembly, chromosome: 1</t>
  </si>
  <si>
    <t>Aspergillus tubingensis IucC family-domain-containing protein (AtWU_03415), partial mRNA</t>
  </si>
  <si>
    <t>Aspergillus novofumigatus IBT 16806 uncharacterized protein (P174DRAFT_510732), partial mRNA</t>
  </si>
  <si>
    <t>Aspergillus japonicus CBS 114.51 hypothetical protein (BO86DRAFT_400852), partial mRNA</t>
  </si>
  <si>
    <t>Aspergillus uvarum CBS 121591 hypothetical protein (BO82DRAFT_434831), partial mRNA</t>
  </si>
  <si>
    <t>Acaromyces ingoldii hypothetical protein (FA10DRAFT_293453), partial mRNA</t>
  </si>
  <si>
    <t>Aspergillus welwitschiae IucC family-domain-containing protein (BDQ94DRAFT_184091), partial mRNA</t>
  </si>
  <si>
    <t>Aspergillus tubingensis IucC family-domain-containing protein (AtWU_03005), partial mRNA</t>
  </si>
  <si>
    <t>Aspergillus brunneoviolaceus CBS 621.78 hypothetical protein (BO95DRAFT_469061), partial mRNA</t>
  </si>
  <si>
    <t>Aspergillus fischeri NRRL 181 conserved hypothetical protein (NFIA_061730), partial mRNA</t>
  </si>
  <si>
    <t>Aspergillus niger CBS 513.88 hypothetical protein, mRNA</t>
  </si>
  <si>
    <t>Aspergillus aculeatus ATCC 16872 uncharacterized protein (ASPACDRAFT_43192), partial mRNA</t>
  </si>
  <si>
    <t>Aspergillus piperis CBS 112811 hypothetical protein (BO85DRAFT_439125), partial mRNA</t>
  </si>
  <si>
    <t>Aspergillus lacticoffeatus CBS 101883 hypothetical protein (BO96DRAFT_443477), partial mRNA</t>
  </si>
  <si>
    <t>Staphylococcus pseudintermedius HKU10-03, complete genome</t>
  </si>
  <si>
    <t>Staphylococcus pseudintermedius strain G3C4 chromosome, complete genome</t>
  </si>
  <si>
    <t>Staphylococcus pseudintermedius strain 081661, complete genome</t>
  </si>
  <si>
    <t>Aspergillus thermomutatus hypothetical protein (CDV56_108768), partial mRNA</t>
  </si>
  <si>
    <t>Aspergillus costaricaensis CBS 115574 hypothetical protein (BO79DRAFT_188558), partial mRNA</t>
  </si>
  <si>
    <t>Aspergillus fischeri NRRL 181 uncharacterized protein (NFIA_061740), partial mRNA</t>
  </si>
  <si>
    <t>Arthroderma uncinatum uncharacterized protein (GIQ15_06133), partial mRNA</t>
  </si>
  <si>
    <t>Aspergillus piperis CBS 112811 hypothetical protein (BO85DRAFT_471749), partial mRNA</t>
  </si>
  <si>
    <t>Fusarium graminearum PH-1 hypothetical protein partial mRNA</t>
  </si>
  <si>
    <t>Dissoconium aciculare CBS 342.82 uncharacterized protein (K489DRAFT_314894), partial mRNA</t>
  </si>
  <si>
    <t>Aquicella siphonis strain SGT-108 genome assembly, chromosome: 1</t>
  </si>
  <si>
    <t>Cercospora beticola hypothetical protein (CB0940_06892), partial mRNA</t>
  </si>
  <si>
    <t>Penicillium chrysogenum Wisconsin 54-1255 hypothetical protein (Pc13g11520) mRNA, complete cds</t>
  </si>
  <si>
    <t>Penicillium chrysogenum Wisconsin 54-1255 complete genome, contig Pc00c13</t>
  </si>
  <si>
    <t>Metarhizium robertsii ARSEF 23 Aerobactin siderophore biosynthesis, IucA/IucC mRNA</t>
  </si>
  <si>
    <t>Aspergillus pseudotamarii uncharacterized protein (BDV38DRAFT_282740), partial mRNA</t>
  </si>
  <si>
    <t>Aspergillus novofumigatus IBT 16806 uncharacterized protein (P174DRAFT_444983), mRNA</t>
  </si>
  <si>
    <t>Aspergillus costaricaensis CBS 115574 hypothetical protein (BO79DRAFT_217461), partial mRNA</t>
  </si>
  <si>
    <t>Aspergillus flavus strain VCG1 chromosome 6</t>
  </si>
  <si>
    <t>Aspergillus flavus strain K49 chromosome 6</t>
  </si>
  <si>
    <t>Aspergillus flavus strain AF36 chromosome 6</t>
  </si>
  <si>
    <t>Aspergillus flavus strain A1 chromosome 6</t>
  </si>
  <si>
    <t>Aspergillus flavus strain Afla-Guard chromosome 8</t>
  </si>
  <si>
    <t>Aspergillus welwitschiae hypothetical protein (BDQ94DRAFT_177097), mRNA</t>
  </si>
  <si>
    <t>Talaromyces rugulosus uncharacterized protein (TRUGW13939_01406), partial mRNA</t>
  </si>
  <si>
    <t>Aspergillus mulundensis hypothetical protein (DSM5745_07500), partial mRNA</t>
  </si>
  <si>
    <t>Metarhizium brunneum ARSEF 3297 Aerobactin siderophore biosynthesis, IucA/IucC partial mRNA</t>
  </si>
  <si>
    <t>Aspergillus tanneri siderophore (ATNIH1004_004388), partial mRNA</t>
  </si>
  <si>
    <t>Cercospora beticola hypothetical protein (CB0940_03830), partial mRNA</t>
  </si>
  <si>
    <t>Talaromyces rugulosus strain W13939 chromosome I</t>
  </si>
  <si>
    <t>Metarhizium brunneum strain 4556 chromosome 1, complete sequence</t>
  </si>
  <si>
    <t>Cercospora sojina strain RACE15 chromosome XII, complete sequence</t>
  </si>
  <si>
    <t>Aspergillus lentulus putative protein KIAA1109 (IFM58399_01347), partial mRNA</t>
  </si>
  <si>
    <t xml:space="preserve">cds749145_750768 S7.3 Armbor 1 </t>
  </si>
  <si>
    <t>Trametes hirsuta strain 072 chromosome 7, complete sequence</t>
  </si>
  <si>
    <t>Postia placenta MAD-698-R-SB12 hypothetical protein (POSPLADRAFT_1152296), partial mRNA</t>
  </si>
  <si>
    <t>Gloeophyllum trabeum ATCC 11539 hypothetical protein partial mRNA</t>
  </si>
  <si>
    <t>Schizophyllum commune H4-8 uncharacterized protein (SCHCODRAFT_66849), partial mRNA</t>
  </si>
  <si>
    <t>Agaricus bisporus var. burnettii JB137-S8 hypothetical protein (AGABI1DRAFT_59498), partial mRNA</t>
  </si>
  <si>
    <t>Phanerochaete carnosa HHB-10118-sp uncharacterized protein (PHACADRAFT_252455), mRNA</t>
  </si>
  <si>
    <t>Trametes versicolor FP-101664 SS1 hypothetical protein partial mRNA</t>
  </si>
  <si>
    <t>Ganoderma boninense Q9UW87 gene for MRP-like transporter</t>
  </si>
  <si>
    <t>Punctularia strigosozonata HHB-11173 SS5 hypothetical protein (PUNSTDRAFT_77696), partial mRNA</t>
  </si>
  <si>
    <t>Stereum hirsutum FP-91666 SS1 hypothetical protein (STEHIDRAFT_73193), mRNA</t>
  </si>
  <si>
    <t>Mycena indigotica C2 domain-containing protein (MIND_00220100), partial mRNA</t>
  </si>
  <si>
    <t>Agaricus bisporus var. bisporus H97 hypothetical protein (AGABI2DRAFT_218205), mRNA</t>
  </si>
  <si>
    <t>Sparassis crispa Oligomycin resistance ATP-dependent permease YOR1 (SCP_1301680), partial mRNA</t>
  </si>
  <si>
    <t>Fibroporia radiculosa predicted protein partial mRNA</t>
  </si>
  <si>
    <t>Fomitiporia mediterranea MF3/22 uncharacterized protein (FOMMEDRAFT_77011), partial mRNA</t>
  </si>
  <si>
    <t>Dichomitus squalens LYAD-421 SS1 uncharacterized protein (DICSQDRAFT_178204), partial mRNA</t>
  </si>
  <si>
    <t>Tilletiopsis washingtonensis hypothetical protein (FA09DRAFT_339285), partial mRNA</t>
  </si>
  <si>
    <t>Tilletiaria anomala UBC 951 hypothetical protein mRNA</t>
  </si>
  <si>
    <t>Saitoella complicata NRRL Y-17804 uncharacterized protein (SAICODRAFT_62759), partial mRNA</t>
  </si>
  <si>
    <t>Coniophora puteana RWD-64-598 SS2 hypothetical protein mRNA</t>
  </si>
  <si>
    <t>Mycena indigotica Calcineurin temperature suppressor Cts1 (MIND_00708300), partial mRNA</t>
  </si>
  <si>
    <t>Wallemia mellicola CBS 633.66 hypothetical protein partial mRNA</t>
  </si>
  <si>
    <t>Podospora anserina S mat+ uncharacterized protein (PODANS_2_13260), partial mRNA</t>
  </si>
  <si>
    <t>Rhodotorula graminis WP1 uncharacterized protein (RHOBADRAFT_27679), partial mRNA</t>
  </si>
  <si>
    <t>Rhizophagus irregularis DAOM 181602=DAOM 197198 hypothetical protein (GLOIN_2v1586150), mRNA</t>
  </si>
  <si>
    <t>Wallemia ichthyophaga EXF-994 Ingression protein fic1 partial mRNA</t>
  </si>
  <si>
    <t>Sordaria macrospora k-hell uncharacterized protein (SMAC_05497), partial mRNA</t>
  </si>
  <si>
    <t>Geosmithia morbida C2 domain (GMORB2_0017), partial mRNA</t>
  </si>
  <si>
    <t>Capronia epimyces CBS 606.96 hypothetical protein partial mRNA</t>
  </si>
  <si>
    <t>Postia placenta MAD-698-R-SB12 hypothetical protein (POSPLADRAFT_1048533), partial mRNA</t>
  </si>
  <si>
    <t>Coprinopsis cinerea okayama7#130 hypothetical protein (CC1G_07069), partial mRNA</t>
  </si>
  <si>
    <t>Fonsecaea erecta hypothetical protein (AYL99_01593), partial mRNA</t>
  </si>
  <si>
    <t>Exophiala mesophila hypothetical protein mRNA</t>
  </si>
  <si>
    <t>Melampsora larici-populina 98AG31 uncharacterized protein (MELLADRAFT_71212), mRNA</t>
  </si>
  <si>
    <t>Chaetomium globosum CBS 148.51 hypothetical protein (CHGG_06945) partial mRNA</t>
  </si>
  <si>
    <t>Rhinocladiella mackenziei CBS 650.93 hypothetical protein partial mRNA</t>
  </si>
  <si>
    <t>Pyricularia grisea uncharacterized protein (PgNI_08085), mRNA</t>
  </si>
  <si>
    <t>Pyricularia pennisetigena uncharacterized protein (PpBr36_07985), partial mRNA</t>
  </si>
  <si>
    <t>Pyricularia oryzae 70-15 uncharacterized protein (MGG_01150), mRNA</t>
  </si>
  <si>
    <t>Cladophialophora immunda hypothetical protein partial mRNA</t>
  </si>
  <si>
    <t>Cladophialophora psammophila CBS 110553 hypothetical protein partial mRNA</t>
  </si>
  <si>
    <t>Cladophialophora bantiana CBS 173.52 hypothetical protein partial mRNA</t>
  </si>
  <si>
    <t>Eremomyces bilateralis CBS 781.70 uncharacterized protein (P152DRAFT_364841), partial mRNA</t>
  </si>
  <si>
    <t>Lindgomyces ingoldianus uncharacterized protein (BDR25DRAFT_279302), mRNA</t>
  </si>
  <si>
    <t>Phialemoniopsis curvata uncharacterized protein (E0L32_002244), partial mRNA</t>
  </si>
  <si>
    <t>Exophiala xenobiotica hypothetical protein mRNA</t>
  </si>
  <si>
    <t>Sporisorium reilianum f. sp. reilianum strain SRS1_H2-8 genome assembly, chromosome: XXIII</t>
  </si>
  <si>
    <t>Sporisorium reilianum SRZ2 chromosome 23 complete DNA sequence</t>
  </si>
  <si>
    <t>Fonsecaea nubica hypothetical protein (AYO20_00994), partial mRNA</t>
  </si>
  <si>
    <t>Fonsecaea pedrosoi CBS 271.37 hypothetical protein partial mRNA</t>
  </si>
  <si>
    <t>Agaricus bisporus var. bisporus H97 hypothetical protein (AGABI2DRAFT_191927), mRNA</t>
  </si>
  <si>
    <t>Agaricus bisporus var. burnettii JB137-S8 hypothetical protein (AGABI1DRAFT_113426), mRNA</t>
  </si>
  <si>
    <t>Dichomitus squalens LYAD-421 SS1 uncharacterized protein (DICSQDRAFT_179654), partial mRNA</t>
  </si>
  <si>
    <t>Neurospora crassa OR74A uncharacterized protein (NCU09847), mRNA</t>
  </si>
  <si>
    <t>Neurospora crassa OR74A hypothetical protein (NCU09847), mRNA</t>
  </si>
  <si>
    <t>Neohortaea acidophila uncharacterized protein (BDY17DRAFT_311205), partial mRNA</t>
  </si>
  <si>
    <t>Rhodotorula toruloides NP11 calcineurin temperature suppressor Cts1 partial mRNA</t>
  </si>
  <si>
    <t>Exophiala dermatitidis NIH/UT8656 hypothetical protein mRNA</t>
  </si>
  <si>
    <t>Moesziomyces antarcticus conserved hypothetical protein partial mRNA</t>
  </si>
  <si>
    <t>Anthracocystis panici-leucophaei strain SPL10 chromosome 7</t>
  </si>
  <si>
    <t>Baudoinia panamericana UAMH 10762 uncharacterized protein (BAUCODRAFT_27751), partial mRNA</t>
  </si>
  <si>
    <t>Mytilinidion resinicola uncharacterized protein (BDZ99DRAFT_565832), partial mRNA</t>
  </si>
  <si>
    <t>Punctularia strigosozonata HHB-11173 SS5 hypothetical protein (PUNSTDRAFT_125244), mRNA</t>
  </si>
  <si>
    <t>Pseudozyma hubeiensis SY62 hypothetical protein partial mRNA</t>
  </si>
  <si>
    <t>Pleurotus ostreatus uncharacterized protein (PC9H_005165), partial mRNA</t>
  </si>
  <si>
    <t>Sporisorium scitamineum strain SscI8 genome assembly, scaffold: SPSC_scaffold_06</t>
  </si>
  <si>
    <t>Sporisorium scitamineum strain SSC39 chromosome 8, complete sequence</t>
  </si>
  <si>
    <t>Fonsecaea multimorphosa CBS 102226 hypothetical protein partial mRNA</t>
  </si>
  <si>
    <t>Fonsecaea monophora hypothetical protein (AYO21_01314), partial mRNA</t>
  </si>
  <si>
    <t>Verticillium alfalfae VaMs.102 conserved hypothetical protein partial mRNA</t>
  </si>
  <si>
    <t>Coniophora puteana RWD-64-598 SS2 hypothetical protein partial mRNA</t>
  </si>
  <si>
    <t>Meira miltonrushii uncharacterized protein (FA14DRAFT_70137), mRNA</t>
  </si>
  <si>
    <t>Peltaster fructicola strain LNHT1506 chromosome 4</t>
  </si>
  <si>
    <t>Verruconis gallopava hypothetical protein mRNA</t>
  </si>
  <si>
    <t>Zymoseptoria tritici IPO323 uncharacterized protein (MYCGRDRAFT_106842), partial mRNA</t>
  </si>
  <si>
    <t>Sporisorium graminicola uncharacterized protein (EX895_004171), partial mRNA</t>
  </si>
  <si>
    <t>Kalmanozyma brasiliensis GHG001 hypothetical protein partial mRNA</t>
  </si>
  <si>
    <t>Jaminaea rosea hypothetical protein (BDZ90DRAFT_274232), mRNA</t>
  </si>
  <si>
    <t>Anthracocystis flocculosa PF-1 hypothetical protein partial mRNA</t>
  </si>
  <si>
    <t>Scedosporium apiospermum hypothetical protein (SAPIO_CDS10853), partial mRNA</t>
  </si>
  <si>
    <t>Sparassis crispa predicted protein (SCP_0204870), partial mRNA</t>
  </si>
  <si>
    <t>Acaromyces ingoldii hypothetical protein (FA10DRAFT_267151), mRNA</t>
  </si>
  <si>
    <t>Melampsora larici-populina 98AG31 uncharacterized protein (MELLADRAFT_115723), partial mRNA</t>
  </si>
  <si>
    <t>Melanopsichium pennsylvanicum 4 genomic scaffold, scaffold SCAFFOLD78</t>
  </si>
  <si>
    <t>Exophiala spinifera hypothetical protein partial mRNA</t>
  </si>
  <si>
    <t>Ustilago bromivora strain UB2112 genome assembly, chromosome: XXIII</t>
  </si>
  <si>
    <t>Pseudomicrostroma glucosiphilum hypothetical protein (BCV69DRAFT_248048), partial mRNA</t>
  </si>
  <si>
    <t>Phanerochaete carnosa HHB-10118-sp uncharacterized protein (PHACADRAFT_170250), partial mRNA</t>
  </si>
  <si>
    <t>Macroventuria anomochaeta uncharacterized protein (BU25DRAFT_426071), partial mRNA</t>
  </si>
  <si>
    <t>Leptosphaeria maculans JN3 hypothetical protein (LEMA_P002100.1), partial mRNA</t>
  </si>
  <si>
    <t>cds750964_752040 S7.3 Armbor1</t>
  </si>
  <si>
    <t>Gloeophyllum trabeum ATCC 11539 hypothetical protein mRNA</t>
  </si>
  <si>
    <t>Phanerochaete carnosa HHB-10118-sp uncharacterized protein (PHACADRAFT_252400), mRNA</t>
  </si>
  <si>
    <t>Schizophyllum commune H4-8 uncharacterized protein (SCHCODRAFT_257873), mRNA</t>
  </si>
  <si>
    <t>Sparassis crispa predicted protein (SCP_1202430), partial mRNA</t>
  </si>
  <si>
    <t>Punctularia strigosozonata HHB-11173 SS5 hypothetical protein (PUNSTDRAFT_139307), partial mRNA</t>
  </si>
  <si>
    <t>Fomitiporia mediterranea MF3/22 uncharacterized protein (FOMMEDRAFT_144900), partial mRNA</t>
  </si>
  <si>
    <t>Trametes versicolor FP-101664 SS1 hypothetical protein mRNA</t>
  </si>
  <si>
    <t>Serpula lacrymans var. lacrymans S7.9 hypothetical protein (SERLADRAFT_468361), mRNA</t>
  </si>
  <si>
    <t>Postia placenta MAD-698-R-SB12 hypothetical protein (POSPLADRAFT_1041175), mRNA</t>
  </si>
  <si>
    <t>Agaricus bisporus var. bisporus H97 hypothetical protein (AGABI2DRAFT_66531), partial mRNA</t>
  </si>
  <si>
    <t>Mycena indigotica uncharacterized protein (MIND_00220000), partial mRNA</t>
  </si>
  <si>
    <t>Myceliophthora thermophila ATCC 42464 chromosome 2, complete sequence</t>
  </si>
  <si>
    <t>Phialemoniopsis curvata uncharacterized protein (E0L32_004747), partial mRNA</t>
  </si>
  <si>
    <t>Trichoderma atroviride IMI 206040 hypothetical protein partial mRNA</t>
  </si>
  <si>
    <t>Trichoderma asperellum CBS 433.97 hypothetical protein (M441DRAFT_52119), partial mRNA</t>
  </si>
  <si>
    <t>Letharia lupina uncharacterized protein (HO133_008721), partial mRNA</t>
  </si>
  <si>
    <t>Letharia columbiana uncharacterized protein (HO173_006080), partial mRNA</t>
  </si>
  <si>
    <t>Stereum hirsutum FP-91666 SS1 hypothetical protein (STEHIDRAFT_48451), partial mRNA</t>
  </si>
  <si>
    <t>PREDICTED: Quercus suber protein SFK1-like (LOC112002669), mRNA</t>
  </si>
  <si>
    <t>Dichomitus squalens LYAD-421 SS1 uncharacterized protein (DICSQDRAFT_144301), partial mRNA</t>
  </si>
  <si>
    <t>Trematosphaeria pertusa uncharacterized protein (BU26DRAFT_534655), partial mRNA</t>
  </si>
  <si>
    <t>Exophiala oligosperma hypothetical protein mRNA</t>
  </si>
  <si>
    <t>Aspergillus oryzae RIB40 unnamed protein product (AO090003000040), partial mRNA</t>
  </si>
  <si>
    <t>Aspergillus bombycis FK506 suppressor Sfk1 (ABOM_011794), partial mRNA</t>
  </si>
  <si>
    <t>Aspergillus flavus NRRL3357 FK506 suppressor Sfk1, putative (AFLA_037620), mRNA</t>
  </si>
  <si>
    <t>Trichoderma gamsii FK506 suppressor Sfk1 (TGAM01_v200719), partial mRNA</t>
  </si>
  <si>
    <t>Penicillium arizonense hypothetical protein (PENARI_c001G05175), partial mRNA</t>
  </si>
  <si>
    <t>Capronia coronata CBS 617.96 hypothetical protein partial mRNA</t>
  </si>
  <si>
    <t>Fonsecaea monophora hypothetical protein (AYO21_03653), partial mRNA</t>
  </si>
  <si>
    <t>Fonsecaea nubica hypothetical protein (AYO20_07149), partial mRNA</t>
  </si>
  <si>
    <t>Podospora comata strain T genome assembly, chromosome: 2</t>
  </si>
  <si>
    <t>Podospora anserina S mat+ genomic DNA chromosome 2, supercontig 2</t>
  </si>
  <si>
    <t>Podospora anserina genomic DNA, chromosome 2</t>
  </si>
  <si>
    <t>Arthrobotrys oligospora ATCC 24927 hypothetical protein mRNA</t>
  </si>
  <si>
    <t>Sordaria macrospora k-hell uncharacterized protein (SMAC_02535), partial mRNA</t>
  </si>
  <si>
    <t>Tuber melanosporum Mel28 hypothetical protein (GSTUM_00011963001) mRNA, complete cds</t>
  </si>
  <si>
    <t>Thermothelomyces thermophilus ATCC 42464 uncharacterized protein (MYCTH_2302276), mRNA</t>
  </si>
  <si>
    <t>Neurospora crassa OR74A FK506 suppressor Sfk1 (NCU03660), mRNA</t>
  </si>
  <si>
    <t>Thermothielavioides terrestris NRRL 8126 uncharacterized protein (THITE_2108492), mRNA</t>
  </si>
  <si>
    <t>Cladonia uncialis subsp. uncialis clone SPAdes23 genomic sequence</t>
  </si>
  <si>
    <t>Xylona heveae TC161 hypothetical protein mRNA</t>
  </si>
  <si>
    <t>Neurospora crassa DNA linkage group V BAC clone B2F7</t>
  </si>
  <si>
    <t>Metarhizium brunneum ARSEF 3297 FK506 suppressor Sfk1 partial mRNA</t>
  </si>
  <si>
    <t>Trichophyton rubrum CBS 118892 hypothetical protein (TERG_01641) mRNA, complete cds</t>
  </si>
  <si>
    <t>Marssonina brunnea f. sp. 'multigermtubi' MB_m1 hypothetical protein (MBM_07813), mRNA</t>
  </si>
  <si>
    <t>Aplosporella prunicola CBS 121167 uncharacterized protein (K452DRAFT_228016), partial mRNA</t>
  </si>
  <si>
    <t>Glarea lozoyensis ATCC 20868 hypothetical protein mRNA</t>
  </si>
  <si>
    <t>Coprinopsis cinerea okayama7#130 hypothetical protein (CC1G_07070), partial mRNA</t>
  </si>
  <si>
    <t>Neurospora tetrasperma FGSC 2508 hypothetical protein mRNA</t>
  </si>
  <si>
    <t>Pseudovirgaria hyperparasitica uncharacterized protein (EJ05DRAFT_477320), mRNA</t>
  </si>
  <si>
    <t>Pseudocercospora fijiensis CIRAD86 uncharacterized protein (MYCFIDRAFT_49772), mRNA</t>
  </si>
  <si>
    <t>Verticillium dahliae VdLs.17 uncharacterized protein (VDAG_01407), partial mRNA</t>
  </si>
  <si>
    <t>Verticillium dahliae VdLs.17 chromosome 1, complete sequence</t>
  </si>
  <si>
    <t>Verticillium dahliae JR2 chromosome 1, complete sequence</t>
  </si>
  <si>
    <t>Paraphaeosphaeria sporulosa hypothetical protein partial mRNA</t>
  </si>
  <si>
    <t>Mytilinidion resinicola uncharacterized protein (BDZ99DRAFT_462994), mRNA</t>
  </si>
  <si>
    <t>Pseudogymnoascus verrucosus hypothetical protein mRNA</t>
  </si>
  <si>
    <t>Aaosphaeria arxii CBS 175.79 uncharacterized protein (BU24DRAFT_492192), mRNA</t>
  </si>
  <si>
    <t>Blastomyces gilchristii SLH14081 suppressor Sfk1 (BDBG_01770), mRNA</t>
  </si>
  <si>
    <t>Zymoseptoria tritici IPO323 SFK1-like membrane protein (MYCGRDRAFT_73835), partial mRNA</t>
  </si>
  <si>
    <t>Saitoella complicata NRRL Y-17804 uncharacterized protein (SAICODRAFT_59288), partial mRNA</t>
  </si>
  <si>
    <t>Zasmidium cellare ATCC 36951 uncharacterized protein (M409DRAFT_21007), partial mRNA</t>
  </si>
  <si>
    <t>Ramularia collo-cygni related to FK506 suppressor Sfk1 (RCC_04034), partial mRNA</t>
  </si>
  <si>
    <t>Pestalotiopsis fici W106-1 hypothetical protein mRNA</t>
  </si>
  <si>
    <t>Hyaloscypha bicolor E uncharacterized protein (K444DRAFT_618995), mRNA</t>
  </si>
  <si>
    <t>Sphaerulina musiva SO2202 uncharacterized protein (SEPMUDRAFT_151128), mRNA</t>
  </si>
  <si>
    <t>Exophiala dermatitidis NIH/UT8656 hypothetical protein partial mRNA</t>
  </si>
  <si>
    <t>Phialocephala scopiformis hypothetical protein mRNA</t>
  </si>
  <si>
    <t>Baudoinia panamericana UAMH 10762 uncharacterized protein (BAUCODRAFT_117653), mRNA</t>
  </si>
  <si>
    <t>Aspergillus fumigatus Af293 FK506 suppressor Sfk1, putative (AFUA_6G06640), partial mRNA</t>
  </si>
  <si>
    <t>Penicillium expansum Frag1/DRAM/Sfk1 (PEX2_051010), partial mRNA</t>
  </si>
  <si>
    <t>Alternaria arborescens hypothetical protein (AA0111_g9228), partial mRNA</t>
  </si>
  <si>
    <t>Alternaria alternata hypothetical protein partial mRNA</t>
  </si>
  <si>
    <t>Penicillium digitatum Pd1 hypothetical protein mRNA</t>
  </si>
  <si>
    <t>Podospora anserina S mat+ uncharacterized protein (PODANS_2_5950), partial mRNA</t>
  </si>
  <si>
    <t>Endocarpon pusillum Z07020 hypothetical protein mRNA</t>
  </si>
  <si>
    <t>Exserohilum turcica Et28A uncharacterized protein (SETTUDRAFT_100740), partial mRNA</t>
  </si>
  <si>
    <t>Penicillium chrysogenum Wisconsin 54-1255 hypothetical protein (Pc14g01490) mRNA, complete cds</t>
  </si>
  <si>
    <t>Pseudogymnoascus destructans hypothetical protein (VC83_02969), partial mRNA</t>
  </si>
  <si>
    <t>Westerdykella ornata uncharacterized protein (EI97DRAFT_9963), mRNA</t>
  </si>
  <si>
    <t>Pyrenophora tritici-repentis Pt-1C-BFP conserved hypothetical protein, mRNA</t>
  </si>
  <si>
    <t>Verticillium nonalfalfae uncharacterized protein (D7B24_001021), partial mRNA</t>
  </si>
  <si>
    <t>Macroventuria anomochaeta uncharacterized protein (BU25DRAFT_249851), mRNA</t>
  </si>
  <si>
    <t>Bipolaris sorokiniana ND90Pr uncharacterized protein (COCSADRAFT_227511), mRNA</t>
  </si>
  <si>
    <t>Lachnellula hyalina Protein sfk1 (sfk1), partial mRNA</t>
  </si>
  <si>
    <t>[Candida] sorbophila Protein SFK1 (B9G98_01687), partial mRNA</t>
  </si>
  <si>
    <t>cds70299_72859 S46.1 Armbor1</t>
  </si>
  <si>
    <t>Stereum hirsutum FP-91666 SS1 glutamate-tRNA ligase (STEHIDRAFT_145454), mRNA</t>
  </si>
  <si>
    <t>Ganoderma boninense G4NIB5 gene for MFS domain-containing protein</t>
  </si>
  <si>
    <t>Stereum hirsutum FP-91666 SS1 glutamyl-tRNA synthetase (STEHIDRAFT_139960), mRNA</t>
  </si>
  <si>
    <t>Pleurotus ostreatus uncharacterized protein (PC9H_000928), partial mRNA</t>
  </si>
  <si>
    <t>Sparassis crispa Probable glutamate--tRNA ligase (SCP_1501410), partial mRNA</t>
  </si>
  <si>
    <t>Sparassis crispa Probable glutamate--tRNA ligase (SCP_0401870), partial mRNA</t>
  </si>
  <si>
    <t>Postia placenta MAD-698-R-SB12 hypothetical protein (POSPLADRAFT_1054129), partial mRNA</t>
  </si>
  <si>
    <t>Trametes versicolor FP-101664 SS1 glutamate-tRNA ligase partial mRNA</t>
  </si>
  <si>
    <t>Punctularia strigosozonata HHB-11173 SS5 glutamate-tRNA ligase (PUNSTDRAFT_89077), mRNA</t>
  </si>
  <si>
    <t>Gloeophyllum trabeum ATCC 11539 glutamyl-tRNA synthetase mRNA</t>
  </si>
  <si>
    <t>Dichomitus squalens LYAD-421 SS1 glutamate-tRNA ligase (DICSQDRAFT_78491), mRNA</t>
  </si>
  <si>
    <t>Serpula lacrymans var. lacrymans S7.9 hypothetical protein (SERLADRAFT_452244), partial mRNA</t>
  </si>
  <si>
    <t>Phanerochaete carnosa HHB-10118-sp uncharacterized protein (PHACADRAFT_173184), mRNA</t>
  </si>
  <si>
    <t>Coprinopsis cinerea okayama7#130 glutamate-tRNA ligase (CC1G_01078), partial mRNA</t>
  </si>
  <si>
    <t>Coniophora puteana RWD-64-598 SS2 glutamate-tRNA ligase mRNA</t>
  </si>
  <si>
    <t>Agaricus bisporus var. burnettii JB137-S8 hypothetical protein (AGABI1DRAFT_104522), mRNA</t>
  </si>
  <si>
    <t>Agaricus bisporus var. bisporus H97 hypothetical protein (AGABI2DRAFT_176537), mRNA</t>
  </si>
  <si>
    <t>Mycena indigotica Glutamate-tRNA ligase (MIND_01087200), partial mRNA</t>
  </si>
  <si>
    <t>Rhodotorula toruloides NP11 glutamyl-tRNA synthetase partial mRNA</t>
  </si>
  <si>
    <t>Ustilago bromivora strain UB2112 genome assembly, chromosome: XVI</t>
  </si>
  <si>
    <t>Ustilago maydis 521 putative glutamyl-tRNA synthetase (UMAG_04782), partial mRNA</t>
  </si>
  <si>
    <t>Sporisorium reilianum f. sp. reilianum strain SRS1_H2-8 genome assembly, chromosome: XVII</t>
  </si>
  <si>
    <t>Sporisorium reilianum SRZ2 chromosome 17 complete DNA sequence</t>
  </si>
  <si>
    <t>Kalmanozyma brasiliensis GHG001 glutamyl-tRNA synthetase partial mRNA</t>
  </si>
  <si>
    <t>Pseudozyma hubeiensis SY62 glutamyl-tRNA synthetase partial mRNA</t>
  </si>
  <si>
    <t>Sporisorium graminicola uncharacterized protein (EX895_000392), partial mRNA</t>
  </si>
  <si>
    <t>Anthracocystis panici-leucophaei strain SPL10 chromosome 16</t>
  </si>
  <si>
    <t>Rhodotorula graminis WP1 uncharacterized protein (RHOBADRAFT_56299), partial mRNA</t>
  </si>
  <si>
    <t>Malassezia globosa strain CBS7966 chromosome 9</t>
  </si>
  <si>
    <t>Malassezia globosa CBS 7966 hypothetical protein MGL_3314 partial mRNA</t>
  </si>
  <si>
    <t>Malassezia restricta CBS 7877 chromosome V, complete sequence</t>
  </si>
  <si>
    <t>Malassezia restricta strain KCTC 27527 chromosome IV, complete sequence</t>
  </si>
  <si>
    <t>Malassezia restricta glutamyl-tRNA synthetase (MRET_2379), partial mRNA</t>
  </si>
  <si>
    <t>Tilletiaria anomala UBC 951 glutamyl-tRNA synthetase mRNA</t>
  </si>
  <si>
    <t>Tilletiopsis washingtonensis glutamyl-tRNA synthetase (FA09DRAFT_323030), mRNA</t>
  </si>
  <si>
    <t>Ceraceosorus guamensis glutamyl-tRNA synthetase (IE81DRAFT_369008), mRNA</t>
  </si>
  <si>
    <t>Moesziomyces antarcticus glutamate-tRNA ligase partial mRNA</t>
  </si>
  <si>
    <t>Aspergillus flavus NRRL3357 glutamyl-tRNA synthetase (AFLA_006370), partial mRNA</t>
  </si>
  <si>
    <t>Aspergillus oryzae RIB40 unnamed protein product (AO090102000566), partial mRNA</t>
  </si>
  <si>
    <t>Pseudomicrostroma glucosiphilum glutamyl-tRNA synthetase (BCV69DRAFT_266083), mRNA</t>
  </si>
  <si>
    <t>Penicilliopsis zonata CBS 506.65 hypothetical protein (ASPZODRAFT_140791), partial mRNA</t>
  </si>
  <si>
    <t>Mixia osmundae IAM 14324 hypothetical protein mRNA</t>
  </si>
  <si>
    <t>Malassezia pachydermatis glutamate-trna ligase (Malapachy_4209), partial mRNA</t>
  </si>
  <si>
    <t>Malassezia furfur isolate CBS14141 chromosome 2</t>
  </si>
  <si>
    <t>Aspergillus pseudotamarii tRNA synthetases class I, catalytic domain-containing protein (BDV38DRAFT_285405), partial mRNA</t>
  </si>
  <si>
    <t>Fomitiporia mediterranea MF3/22 glutamate-tRNA ligase (FOMMEDRAFT_96722), partial mRNA</t>
  </si>
  <si>
    <t>Rhizophagus irregularis DAOM 181602=DAOM 197198 tRNA synthetases class I, catalytic domain-containing protein (GLOIN_2v1510694), mRNA</t>
  </si>
  <si>
    <t>Acaromyces ingoldii glutamyl-tRNA synthetase (FA10DRAFT_274062), mRNA</t>
  </si>
  <si>
    <t>Tuber melanosporum Mel28 hypothetical protein (GSTUM_00010264001) mRNA, complete cds</t>
  </si>
  <si>
    <t>Puccinia graminis f. sp. tritici CRL 75-36-700-3 glutamyl-tRNA synthetase (PGTG_17719), mRNA</t>
  </si>
  <si>
    <t>Melanopsichium pennsylvanicum 4 genomic scaffold, scaffold SCAFFOLD27</t>
  </si>
  <si>
    <t>Jaminaea rosea glutamyl-tRNA synthetase (BDZ90DRAFT_232400), mRNA</t>
  </si>
  <si>
    <t>Aspergillus mulundensis Uncharacterized protein (DSM5745_00448), partial mRNA</t>
  </si>
  <si>
    <t>Aspergillus clavatus NRRL 1 glutamyl-tRNA synthetase (ACLA_001610), partial mRNA</t>
  </si>
  <si>
    <t>Rhizopus microsporus ATCC 52813 putative glutamate--tRNA ligase, cytoplasmic (RHIMIDRAFT_21562), mRNA</t>
  </si>
  <si>
    <t>Aspergillus caelatus tRNA synthetases class I, catalytic domain-containing protein (BDV27DRAFT_128888), mRNA</t>
  </si>
  <si>
    <t>Aspergillus glaucus CBS 516.65 hypothetical protein (ASPGLDRAFT_28677), partial mRNA</t>
  </si>
  <si>
    <t>Saitoella complicata NRRL Y-17804 glutamyl-tRNA synthetase (SAICODRAFT_90550), mRNA</t>
  </si>
  <si>
    <t>Clavispora lusitaniae ATCC 42720 hypothetical protein, mRNA</t>
  </si>
  <si>
    <t>Pichia membranifaciens NRRL Y-2026 hypothetical protein mRNA</t>
  </si>
  <si>
    <t>Malassezia sympodialis isolate KS292 genome assembly, chromosome: 7</t>
  </si>
  <si>
    <t>Malassezia sympodialis ATCC 42132 uncharacterized protein partial mRNA</t>
  </si>
  <si>
    <t>Malassezia sympodialis ATCC 42132 genome assembly, chromosome: 7</t>
  </si>
  <si>
    <t>Malassezia sympodialis isolate KS004 genome assembly, chromosome: 7</t>
  </si>
  <si>
    <t>Malassezia sympodialis isolate KS327 genome assembly, chromosome: 7</t>
  </si>
  <si>
    <t>Malassezia sympodialis isolate KS024 genome assembly, chromosome: 7</t>
  </si>
  <si>
    <t>Xylona heveae TC161 glutamyl-tRNA synthetase mRNA</t>
  </si>
  <si>
    <t>Meira miltonrushii glutamyl-tRNA synthetase (FA14DRAFT_171123), mRNA</t>
  </si>
  <si>
    <t>Pneumocystis murina B123 glutamate-tRNA ligase (PNEG_01504), mRNA</t>
  </si>
  <si>
    <t>Ogataea parapolymorpha DL-1 Glutamate--tRNA ligase, cytoplasmic partial mRNA</t>
  </si>
  <si>
    <t>Pichia kudriavzevii uncharacterized protein (C5L36_0B00850), partial mRNA</t>
  </si>
  <si>
    <t>Cyberlindnera jadinii NRRL Y-1542 Glutamyl-tRNA synthetase, cytoplasmic partial mRNA</t>
  </si>
  <si>
    <t>Komagataella phaffii GS115 Glutamyl-tRNA synthetase, cytoplasmic (PAS_chr1-4_0598), partial mRNA</t>
  </si>
  <si>
    <t>Komagataella phaffii CBS 7435 genome assembly, chromosome: 1</t>
  </si>
  <si>
    <t>Komagataella phaffii GS115 chromosome 1 sequence</t>
  </si>
  <si>
    <t>Komagataella phaffii strain WT chromosome 1 sequence</t>
  </si>
  <si>
    <t>Pichia pastoris CBS 7435 chromosome 1, complete replicon sequence</t>
  </si>
  <si>
    <t>Pichia pastoris GS115 chromosome 1, complete sequence</t>
  </si>
  <si>
    <t>Wickerhamomyces ciferrii glutamyl-tRNA synthetase partial mRNA</t>
  </si>
  <si>
    <t>Komagataella pastoris strain ATCC 28485 chromosome 3 sequence</t>
  </si>
  <si>
    <t>Ogataea polymorpha uncharacterized protein (OGAPODRAFT_89468), partial mRNA</t>
  </si>
  <si>
    <t>Schizosaccharomyces pombe putative glutamate-tRNA ligase (SPAC17A5.15c), mRNA</t>
  </si>
  <si>
    <t>Schizosaccharomyces pombe chromosome I, complete sequence</t>
  </si>
  <si>
    <t>Wickerhamomyces anomalus NRRL Y-366-8 hypothetical protein partial mRNA</t>
  </si>
  <si>
    <t>Schizosaccharomyces japonicus yFS275 glutamate-tRNA ligase (SJAG_03277), mRNA</t>
  </si>
  <si>
    <t>Schizosaccharomyces japonicus yFS275 exonuclease II Exo2 (SJAG_03276), mRNA</t>
  </si>
  <si>
    <t>[Candida] pseudohaemulonii glutamate-tRNA ligase (C7M61_002454), partial mRNA</t>
  </si>
  <si>
    <t>[Candida] duobushaemulonis glutamate-tRNA ligase (CXQ87_003244), partial mRNA</t>
  </si>
  <si>
    <t>[Candida] haemulonis glutamate-tRNA ligase (CXQ85_002808), partial mRNA</t>
  </si>
  <si>
    <t>Pneumocystis carinii B80 glutamate-tRNA ligase (T552_00983), mRNA</t>
  </si>
  <si>
    <t>Metschnikowia bicuspidata var. bicuspidata NRRL YB-4993 glutamyl-tRNA synthetase (METBIDRAFT_48030), partial mRNA</t>
  </si>
  <si>
    <t>Schizosaccharomyces cryophilus OY26 glutamate-tRNA ligase mRNA</t>
  </si>
  <si>
    <t>Schizosaccharomyces octosporus yFS286 glutamate-tRNA ligase mRNA</t>
  </si>
  <si>
    <t>[Candida] auris glutamate-tRNA ligase (CJI97_001450), partial mRNA</t>
  </si>
  <si>
    <t>cds73114_74699 S46.1 Armbor1</t>
  </si>
  <si>
    <t>Heterobasidion irregulare strain TC 32-1 clone FGHH201-A05, complete sequence</t>
  </si>
  <si>
    <t>Clitopilus hobsonii strain QYL-10 chromosome 12</t>
  </si>
  <si>
    <t>Agaricus bisporus strain KMCC00540 chromosome 12</t>
  </si>
  <si>
    <t>Agaricus bisporus var. bisporus strain H39 chromosome 12, complete sequence</t>
  </si>
  <si>
    <t>Agaricus bisporus clone FWBA37-C20, complete sequence</t>
  </si>
  <si>
    <t>Agaricus bisporus var. bisporus H97 chromosome 12 sequence</t>
  </si>
  <si>
    <t>Lentinula edodes DNA, scaffold43 of G408PP-4 genome sequence data, partial sequence, strain: KRCF1097PP-1</t>
  </si>
  <si>
    <t>Lentinula edodes DNA, scaffold43 of G408PP-4 genome sequence data, partial sequence, strain: KRCF1101PP-10</t>
  </si>
  <si>
    <t>Schizophyllum commune H4-8 uncharacterized protein (SCHCODRAFT_258981), mRNA</t>
  </si>
  <si>
    <t>Coprinopsis cinerea okayama7#130 hypothetical protein (CC1G_06473), partial mRNA</t>
  </si>
  <si>
    <t>Ganoderma boninense I1RJM9 gene for Protein kinase domain-containing protein</t>
  </si>
  <si>
    <t>Postia placenta MAD-698-R-SB12 hypothetical protein (POSPLADRAFT_1142414), partial mRNA</t>
  </si>
  <si>
    <t>Dichomitus squalens LYAD-421 SS1 WH1-domain-containing protein (DICSQDRAFT_25777), partial mRNA</t>
  </si>
  <si>
    <t>Laccaria bicolor S238N-H82 actin regulatory protein partial mRNA</t>
  </si>
  <si>
    <t>Gloeophyllum trabeum ATCC 11539 WH1-domain-containing protein partial mRNA</t>
  </si>
  <si>
    <t>Trametes versicolor FP-101664 SS1 WH1-domain-containing protein partial mRNA</t>
  </si>
  <si>
    <t>Sparassis crispa hypothetical protein (SCP_0603430), partial mRNA</t>
  </si>
  <si>
    <t>Phanerochaete carnosa HHB-10118-sp uncharacterized protein (PHACADRAFT_147657), partial mRNA</t>
  </si>
  <si>
    <t>Stereum hirsutum FP-91666 SS1 hypothetical protein (STEHIDRAFT_159372), partial mRNA</t>
  </si>
  <si>
    <t>Punctularia strigosozonata HHB-11173 SS5 WH1-domain-containing protein (PUNSTDRAFT_89387), partial mRNA</t>
  </si>
  <si>
    <t>Fomitiporia mediterranea MF3/22 WH1-domain-containing protein (FOMMEDRAFT_144346), partial mRNA</t>
  </si>
  <si>
    <t>Agaricus bisporus var. bisporus H97 hypothetical protein (AGABI2DRAFT_153764), partial mRNA</t>
  </si>
  <si>
    <t>Agaricus bisporus var. burnettii JB137-S8 hypothetical protein (AGABI1DRAFT_101672), partial mRNA</t>
  </si>
  <si>
    <t>Mycena indigotica uncharacterized protein (MIND_00601300), partial mRNA</t>
  </si>
  <si>
    <t>Pleurotus ostreatus Wiskott-Aldrich syndrome protein 1 (WSP1), partial mRNA</t>
  </si>
  <si>
    <t>Trametes hirsuta strain 072 chromosome 9, complete sequence</t>
  </si>
  <si>
    <t>Cantharellus anzutake uncharacterized protein (EI90DRAFT_2998089), mRNA</t>
  </si>
  <si>
    <t>Cutaneotrichosporon oleaginosum PH domain-like protein (CC85DRAFT_294450), partial mRNA</t>
  </si>
  <si>
    <t>Cryptococcus gattii WM276 Actin assembly factor, putative partial mRNA</t>
  </si>
  <si>
    <t>Cryptococcus neoformans var. neoformans B-3501A hypothetical protein (CNBE5050) partial mRNA</t>
  </si>
  <si>
    <t>Filobasidiella neoformans Wiskott-Aldrich syndrome protein (WSP1) mRNA, complete cds</t>
  </si>
  <si>
    <t>Cryptococcus neoformans var. neoformans JEC21 hypothetical protein (CNE05050), mRNA</t>
  </si>
  <si>
    <t>Kwoniella bestiolae CBS 10118 wiskott-Aldrich syndrome protein partial mRNA</t>
  </si>
  <si>
    <t>Ustilago bromivora strain UB2112 genome assembly, chromosome: XIV</t>
  </si>
  <si>
    <t>Jaminaea rosea WH1-domain-containing protein (BDZ90DRAFT_244922), partial mRNA</t>
  </si>
  <si>
    <t>Kwoniella pini CBS 10737 wiskott-Aldrich syndrome protein partial mRNA</t>
  </si>
  <si>
    <t>Kwoniella dejecticola CBS 10117 wiskott-Aldrich syndrome protein partial mRNA</t>
  </si>
  <si>
    <t>Tremella mesenterica DSM 1558 uncharacterized protein (TREMEDRAFT_72246), partial mRNA</t>
  </si>
  <si>
    <t>Cryptococcus neoformans var. grubii H99 wiskott-Aldrich syndrome protein (CNAG_02029), mRNA</t>
  </si>
  <si>
    <t>Tsuchiyaea wingfieldii CBS 7118 wiskott-Aldrich syndrome protein (L198_07846), partial mRNA</t>
  </si>
  <si>
    <t>Kwoniella mangroviensis CBS 8507 wiskott-Aldrich syndrome protein partial mRNA</t>
  </si>
  <si>
    <t>Sporisorium graminicola uncharacterized protein (EX895_001127), partial mRNA</t>
  </si>
  <si>
    <t>Melanopsichium pennsylvanicum 4 genomic scaffold, scaffold SCAFFOLD241</t>
  </si>
  <si>
    <t>Sporisorium scitamineum strain SscI8 genome assembly, scaffold: SPSC_scaffold_36</t>
  </si>
  <si>
    <t>Sporisorium scitamineum strain SSC39 chromosome 15, complete sequence</t>
  </si>
  <si>
    <t>Acaromyces ingoldii hypothetical protein (FA10DRAFT_266709), mRNA</t>
  </si>
  <si>
    <t>Kwoniella shandongensis uncharacterized protein (CI109_004450), partial mRNA</t>
  </si>
  <si>
    <t>Cryptococcus amylolentus CBS 6039 hypothetical protein (L202_04538), partial mRNA</t>
  </si>
  <si>
    <t>Ustilago maydis 521 hypothetical protein (UMAG_03687), partial mRNA</t>
  </si>
  <si>
    <t>Sporisorium reilianum SRZ2 chromosome 10 complete DNA sequence</t>
  </si>
  <si>
    <t>Sporisorium reilianum f. sp. reilianum strain SRS1_H2-8 genome assembly, chromosome: X</t>
  </si>
  <si>
    <t>Kockovaella imperatae hypothetical protein (BD324DRAFT_376200), mRNA</t>
  </si>
  <si>
    <t>Tilletiaria anomala UBC 951 WH1-domain-containing protein partial mRNA</t>
  </si>
  <si>
    <t>Meira miltonrushii PH domain-like protein (FA14DRAFT_119365), partial mRNA</t>
  </si>
  <si>
    <t>Moesziomyces antarcticus actin regulatory protein partial mRNA</t>
  </si>
  <si>
    <t>Puccinia graminis f. sp. tritici CRL 75-36-700-3 hypothetical protein (PGTG_00959), mRNA</t>
  </si>
  <si>
    <t>Puccinia graminis f. sp. tritici CRL 75-36-700-3 hypothetical protein (PGTG_19652), mRNA</t>
  </si>
  <si>
    <t>Apiotrichum porosum Wiskott-Aldrich syndrome protein 1 (WSP1), partial mRNA</t>
  </si>
  <si>
    <t>Pseudomicrostroma glucosiphilum hypothetical protein (BCV69DRAFT_286476), partial mRNA</t>
  </si>
  <si>
    <t>Rhodotorula toruloides NP11 actin regulatory protein partial mRNA</t>
  </si>
  <si>
    <t>Melampsora larici-populina 98AG31 uncharacterized protein (MELLADRAFT_78219), partial mRNA</t>
  </si>
  <si>
    <t>Tilletiopsis washingtonensis hypothetical protein (FA09DRAFT_359968), partial mRNA</t>
  </si>
  <si>
    <t>Ceraceosorus guamensis hypothetical protein (IE81DRAFT_320770), mRNA</t>
  </si>
  <si>
    <t>Pneumocystis murina B123 hypothetical protein (PNEG_00465), mRNA</t>
  </si>
  <si>
    <t>Pneumocystis carinii B80 hypothetical protein (T552_00391), mRNA</t>
  </si>
  <si>
    <t>Lobosporangium transversale hypothetical protein (BCR41DRAFT_376692), partial mRNA</t>
  </si>
  <si>
    <t>Saprochaete ingens uncharacterized protein (SAPINGB_P005270), partial mRNA</t>
  </si>
  <si>
    <t>Candida albicans SC5314 actin-binding protein (WAL1), partial mRNA</t>
  </si>
  <si>
    <t>Candida albicans strain SC5314-GTH12 chromosome RB</t>
  </si>
  <si>
    <t>Candida albicans strain SC5314-GTH12 chromosome RA</t>
  </si>
  <si>
    <t>Candida albicans strain SC5314-P0 chromosome RB</t>
  </si>
  <si>
    <t>Candida albicans strain SC5314-P0 chromosome RA</t>
  </si>
  <si>
    <t>Candida albicans SC5314 chromosome R sequence</t>
  </si>
  <si>
    <t>Candida albicans strain TIMM 1768 chromosome R, complete sequence</t>
  </si>
  <si>
    <t>Rhizophagus irregularis DAOM 181602=DAOM 197198 hypothetical protein (GLOIN_2v1663794), mRNA</t>
  </si>
  <si>
    <t>Sugiyamaella lignohabitans Las17p (LAS17), partial mRNA</t>
  </si>
  <si>
    <t>[Candida] pseudohaemulonii hypothetical protein (C7M61_003092), partial mRNA</t>
  </si>
  <si>
    <t>[Candida] duobushaemulonis uncharacterized protein (CXQ87_002453), partial mRNA</t>
  </si>
  <si>
    <t>Spathaspora passalidarum NRRL Y-27907 hypothetical protein (SPAPADRAFT_70049), mRNA</t>
  </si>
  <si>
    <t>[Candida] haemulonis hypothetical protein (CXQ85_001413), partial mRNA</t>
  </si>
  <si>
    <t>Candida dubliniensis CD36 actin assembly factor, putative (CD36_34820), partial mRNA</t>
  </si>
  <si>
    <t>Candida dubliniensis CD36 chromosome R, complete sequence</t>
  </si>
  <si>
    <t>[Candida] auris isolate B13463 chromosome 3</t>
  </si>
  <si>
    <t>[Candida] auris isolate B12043 chromosome 3</t>
  </si>
  <si>
    <t>[Candida] auris strain B11245 chromosome 2</t>
  </si>
  <si>
    <t>[Candida] auris isolate A1 chromosome II</t>
  </si>
  <si>
    <t>[Candida] auris strain CA-AM1 chromosome II</t>
  </si>
  <si>
    <t>[Candida] intermedia strain PYCC 4715 genome assembly, chromosome: I</t>
  </si>
  <si>
    <t>Candida orthopsilosis Co 90-125 Wal1 h (CORT_0G01250), partial mRNA</t>
  </si>
  <si>
    <t>Candida parapsilosis uncharacterized protein (CPAR2_701100), partial mRNA</t>
  </si>
  <si>
    <t>Candida parapsilosis strain CDC317 annotated contig 006110</t>
  </si>
  <si>
    <t>Candida orthopsilosis Co 90-125, chromosome 7 draft sequence</t>
  </si>
  <si>
    <t>cds74943_76660 S46.1 Armbor1</t>
  </si>
  <si>
    <t>Clitopilus hobsonii strain QYL-10 chromosome 11</t>
  </si>
  <si>
    <t>Aspergillus flavus strain CA14 chromosome 3</t>
  </si>
  <si>
    <t>Aspergillus flavus strain A9 chromosome 3</t>
  </si>
  <si>
    <t>Aspergillus parasiticus strain NRRL 2999 chromosome 3</t>
  </si>
  <si>
    <t>Aspergillus flavus strain NRRL 3357 chromosome 3</t>
  </si>
  <si>
    <t>Aspergillus flavus NRRL3357 chromosome 3</t>
  </si>
  <si>
    <t>Aspergillus flavus strain VCG4 chromosome 3</t>
  </si>
  <si>
    <t>Aspergillus flavus strain AF13 chromosome 3</t>
  </si>
  <si>
    <t>Aspergillus flavus strain Tox4 chromosome 3</t>
  </si>
  <si>
    <t>Aspergillus flavus strain Afla-Guard chromosome 3</t>
  </si>
  <si>
    <t>Aspergillus flavus strain SU-16 chromosome 3</t>
  </si>
  <si>
    <t>Aspergillus oryzae RIB40 DNA, SC023</t>
  </si>
  <si>
    <t>Aspergillus flavus strain K54A chromosome 3</t>
  </si>
  <si>
    <t>Aspergillus flavus strain A1 chromosome 3</t>
  </si>
  <si>
    <t>Aspergillus flavus strain VCG1 chromosome 3</t>
  </si>
  <si>
    <t>Aspergillus flavus strain AF36 chromosome 3</t>
  </si>
  <si>
    <t>Aspergillus flavus strain K49 chromosome 3</t>
  </si>
  <si>
    <t>Aspergillus sojae strain SMF134 chromosome 3</t>
  </si>
  <si>
    <t>Penicillium roqueforti uncharacterized protein (LCP9604111_143), partial mRNA</t>
  </si>
  <si>
    <t>Aspergillus felis strain FM324 chromosome 4</t>
  </si>
  <si>
    <t>cds76899_77675 S46.1 Armbor1</t>
  </si>
  <si>
    <t>Coprinopsis cinerea okayama7#130 soluble N-ethylmaleimide-sensitive factor attachment protein receptor (CC1G_06483), partial mRNA</t>
  </si>
  <si>
    <t>Cryptococcus neoformans var. neoformans B-3501A hypothetical protein (CNBH3900) partial mRNA</t>
  </si>
  <si>
    <t>Cryptococcus neoformans var. neoformans JEC21 SNAP receptor, putative (CNI04090), mRNA</t>
  </si>
  <si>
    <t>Cryptococcus gattii WM276 SNAP receptor, putative partial mRNA</t>
  </si>
  <si>
    <t>Melampsora larici-populina 98AG31 uncharacterized protein (MELLADRAFT_57016), mRNA</t>
  </si>
  <si>
    <t>Cryptococcus neoformans var. grubii H99 syntaxin 8 (CNAG_04270), mRNA</t>
  </si>
  <si>
    <t>Cryptococcus gattii VGII R265 chromosome 8, complete sequence</t>
  </si>
  <si>
    <t>Cryptococcus neoformans var. neoformans JEC21 chromosome 9 sequence</t>
  </si>
  <si>
    <t>Cryptococcus gattii WM276 chromosome H, complete sequence</t>
  </si>
  <si>
    <t>Colletotrichum orchidophilum SNARE domain-containing protein (CORC01_02141), partial mRNA</t>
  </si>
  <si>
    <t>Colletotrichum graminicola M1.001 SNARE domain-containing protein partial mRNA</t>
  </si>
  <si>
    <t>Colletotrichum higginsianum IMI 349063 SNARE domain-containing protein mRNA</t>
  </si>
  <si>
    <t>Colletotrichum karsti SNARE domain-containing protein (CkaCkLH20_03986), partial mRNA</t>
  </si>
  <si>
    <t>Colletotrichum truncatum SNARE domain-containing protein (CTRU02_05751), partial mRNA</t>
  </si>
  <si>
    <t>Cryptococcus neoformans var. grubii strain A1_35_8 chromosome 9</t>
  </si>
  <si>
    <t>Cryptococcus neoformans var. grubii H99 chromosome 09</t>
  </si>
  <si>
    <t>Cryptococcus neoformans var. grubii H99 chromosome 9, complete sequence</t>
  </si>
  <si>
    <t>Cryptococcus neoformans var. grubii strain KN99 chromosome 9, complete sequence</t>
  </si>
  <si>
    <t>Cryptococcus neoformans strain EN28 chromosome 9, complete sequence</t>
  </si>
  <si>
    <t>Cryptococcus neoformans var. grubii strain Ze90-1 chromosome 9</t>
  </si>
  <si>
    <t>Colletotrichum scovillei SNARE domain-containing protein (HER10_EVM0003648), mRNA</t>
  </si>
  <si>
    <t>Kwoniella shandongensis uncharacterized protein (CI109_004034), partial mRNA</t>
  </si>
  <si>
    <t>Tremella mesenterica DSM 1558 uncharacterized protein (TREMEDRAFT_66698), partial mRNA</t>
  </si>
  <si>
    <t>Lichtheimia ramosa strain JMRC FSU:6197 genome assembly, scaffold: SCAF7</t>
  </si>
  <si>
    <t>Lichtheimia ramosa strain KPH11 chromosome 05, complete sequence</t>
  </si>
  <si>
    <t>Sporisorium graminicola uncharacterized protein (EX895_004018), partial mRNA</t>
  </si>
  <si>
    <t>Verticillium dahliae VdLs.17 v-SNARE (VDAG_01236), partial mRNA</t>
  </si>
  <si>
    <t>Verticillium nonalfalfae uncharacterized protein (D7B24_007491), partial mRNA</t>
  </si>
  <si>
    <t>Verticillium alfalfae VaMs.102 v-SNARE partial mRNA</t>
  </si>
  <si>
    <t>Colletotrichum aenigma putative syntaxin-8B (syn8B), partial mRNA</t>
  </si>
  <si>
    <t>Colletotrichum siamense putative syntaxin-8B (syn8B), partial mRNA</t>
  </si>
  <si>
    <t>Colletotrichum fructicola uncharacterized protein (CGMCC3_g11592), partial mRNA</t>
  </si>
  <si>
    <t>Kwoniella bestiolae CBS 10118 syntaxin 8 partial mRNA</t>
  </si>
  <si>
    <t>Mycena indigotica t-SNARE coiled-coil-like proteiny domain-containing protein (MIND_00606000), partial mRNA</t>
  </si>
  <si>
    <t>Cutaneotrichosporon oleaginosum uncharacterized protein (CC85DRAFT_284122), mRNA</t>
  </si>
  <si>
    <t>Apiotrichum porosum hypothetical protein (EHS24_002680), partial mRNA</t>
  </si>
  <si>
    <t>Jaminaea rosea hypothetical protein (BDZ90DRAFT_229093), mRNA</t>
  </si>
  <si>
    <t>Schizophyllum commune H4-8 uncharacterized protein (SCHCODRAFT_61958), partial mRNA</t>
  </si>
  <si>
    <t>Synchytrium microbalum uncharacterized protein (SmJEL517_g03157), partial mRNA</t>
  </si>
  <si>
    <t>Saprochaete ingens uncharacterized protein (SAPINGB_P001890), partial mRNA</t>
  </si>
  <si>
    <t>Agaricus bisporus var. bisporus H97 hypothetical protein (AGABI2DRAFT_77482), partial mRNA</t>
  </si>
  <si>
    <t>Metarhizium brunneum ARSEF 3297 SNARE complex subunit partial mRNA</t>
  </si>
  <si>
    <t>Metarhizium brunneum strain 4556 chromosome 4, complete sequence</t>
  </si>
  <si>
    <t>Puccinia graminis f. sp. tritici CRL 75-36-700-3 hypothetical protein (PGTG_17127), mRNA</t>
  </si>
  <si>
    <t>Puccinia graminis f. sp. tritici CRL 75-36-700-3 hypothetical protein (PGTG_20332), mRNA</t>
  </si>
  <si>
    <t>Metarhizium robertsii ARSEF 23 SNARE complex subunit (Syn8) mRNA</t>
  </si>
  <si>
    <t>Epichloe festucae Fl1 chromosome 4, complete sequence</t>
  </si>
  <si>
    <t>Agaricus bisporus var. burnettii JB137-S8 hypothetical protein (AGABI1DRAFT_93362), partial mRNA</t>
  </si>
  <si>
    <t>Laccaria bicolor S238N-H82 syntaxin-like protein partial mRNA</t>
  </si>
  <si>
    <t>Pleurotus ostreatus uncharacterized protein (PC9H_001968), partial mRNA</t>
  </si>
  <si>
    <t>Punctularia strigosozonata HHB-11173 SS5 hypothetical protein (PUNSTDRAFT_91765), partial mRNA</t>
  </si>
  <si>
    <t>Metarhizium acridum CQMa 102 SNARE complex subunit partial mRNA</t>
  </si>
  <si>
    <t>Sugiyamaella lignohabitans hypothetical protein partial mRNA</t>
  </si>
  <si>
    <t>Sugiyamaella lignohabitans strain CBS 10342 chromosome A, complete sequence</t>
  </si>
  <si>
    <t>Ganoderma boninense G4N6P2 gene for V-SNARE</t>
  </si>
  <si>
    <t>Dichomitus squalens LYAD-421 SS1 uncharacterized protein (DICSQDRAFT_55183), partial mRNA</t>
  </si>
  <si>
    <t>Postia placenta MAD-698-R-SB12 hypothetical protein (POSPLADRAFT_1181237), mRNA</t>
  </si>
  <si>
    <t>Saitoella complicata NRRL Y-17804 uncharacterized protein (SAICODRAFT_66440), mRNA</t>
  </si>
  <si>
    <t>Stereum hirsutum FP-91666 SS1 hypothetical protein (STEHIDRAFT_148708), mRNA</t>
  </si>
  <si>
    <t>Sparassis crispa Syntaxin-52 (SCP_0602700), partial mRNA</t>
  </si>
  <si>
    <t>Cantharellus anzutake uncharacterized protein (EI90DRAFT_2903067), partial mRNA</t>
  </si>
  <si>
    <t>Heterobasidion irregulare TC 32-1 hypothetical protein mRNA</t>
  </si>
  <si>
    <t>Serpula lacrymans var. lacrymans S7.9 hypothetical protein (SERLADRAFT_401104), mRNA</t>
  </si>
  <si>
    <t>Naegleria gruberi predicted protein, mRNA</t>
  </si>
  <si>
    <t>Fomitiporia mediterranea MF3/22 uncharacterized protein (FOMMEDRAFT_130934), partial mRNA</t>
  </si>
  <si>
    <t>Lobosporangium transversale hypothetical protein (BCR41DRAFT_363637), mRNA</t>
  </si>
  <si>
    <t>Rhodotorula toruloides NP11 SNARE domain containing protein partial mRNA</t>
  </si>
  <si>
    <t>Phanerochaete carnosa HHB-10118-sp uncharacterized protein (PHACADRAFT_210994), mRNA</t>
  </si>
  <si>
    <t>cds78201_79011 S46.1 Armbor1</t>
  </si>
  <si>
    <t>Punctularia strigosozonata HHB-11173 SS5 endoglucanase V-like protein (PUNSTDRAFT_120039), mRNA</t>
  </si>
  <si>
    <t>Phanerochaete chrysosporium egv mRNA for endoglucanase V-like protein, complete cds</t>
  </si>
  <si>
    <t>Fomitopsis palustris Fpcel45a mRNA for endoglucanase, complete cds</t>
  </si>
  <si>
    <t>Fomitopsis palustris strain FFPRI 0507 endoglucanase mRNA, complete cds</t>
  </si>
  <si>
    <t>Gloeophyllum trabeum ATCC 11539 endoglucanase V-like protein mRNA</t>
  </si>
  <si>
    <t>Phanerochaete carnosa HHB-10118-sp glycoside hydrolase family 45 protein (PHACADRAFT_196640), partial mRNA</t>
  </si>
  <si>
    <t>Stereum hirsutum FP-91666 SS1 endoglucanase V-like protein (STEHIDRAFT_97697), partial mRNA</t>
  </si>
  <si>
    <t>Dichomitus squalens LYAD-421 SS1 endoglucanase V-like protein (DICSQDRAFT_172397), partial mRNA</t>
  </si>
  <si>
    <t>Trametes versicolor FP-101664 SS1 endoglucanase V-like protein mRNA</t>
  </si>
  <si>
    <t>Fomitiporia mediterranea MF3/22 endoglucanase V-like protein (FOMMEDRAFT_149906), partial mRNA</t>
  </si>
  <si>
    <t>Coniophora puteana RWD-64-598 SS2 glycoside hydrolase family 45 protein partial mRNA</t>
  </si>
  <si>
    <t>Armillaria ostoyae strain C18/9 genome assembly, chromosome: LG7</t>
  </si>
  <si>
    <t>Mycena indigotica Endoglucanase V-like protein (MIND_00328600), partial mRNA</t>
  </si>
  <si>
    <t>Heterobasidion irregulare TC 32-1 glycoside hydrolase family 45 protein (gh45.1), partial mRNA</t>
  </si>
  <si>
    <t>Phanerochaete chrysosporium endoglucanase mRNA, complete cds</t>
  </si>
  <si>
    <t>Aspergillus novofumigatus IBT 16806 putative endoglucanase (P174DRAFT_462734), partial mRNA</t>
  </si>
  <si>
    <t>Agaricus bisporus var. bisporus H97 hypothetical protein (AGABI2DRAFT_118805), partial mRNA</t>
  </si>
  <si>
    <t>Agaricus bisporus var. burnettii JB137-S8 hypothetical protein (AGABI1DRAFT_126178), partial mRNA</t>
  </si>
  <si>
    <t>Aspergillus lentulus endoglucanase-5 (IFM58399_08270), partial mRNA</t>
  </si>
  <si>
    <t>Aspergillus thermomutatus Endoglucanase-5 (EGL5), partial mRNA</t>
  </si>
  <si>
    <t>Aspergillus fischeri NRRL 181 glycosyl hydrolase family 45 protein (NFIA_028020), partial mRNA</t>
  </si>
  <si>
    <t>Aspergillus fumigatus Af293 endoglucanase, putative (AFUA_7G06740), partial mRNA</t>
  </si>
  <si>
    <t>Talaromyces stipitatus ATCC 10500 endoglucanase, putative, mRNA</t>
  </si>
  <si>
    <t>Talaromyces marneffei ATCC 18224 endoglucanase, putative (PMAA_052580), partial mRNA</t>
  </si>
  <si>
    <t>Aspergillus felis strain FM324 chromosome 8</t>
  </si>
  <si>
    <t>Penicillium oxalicum strain GZ-2 endoglucanase 3 (egl3) mRNA, complete cds</t>
  </si>
  <si>
    <t>Talaromyces pinophilus strain 1-95 chromosome 4, complete sequence</t>
  </si>
  <si>
    <t>Talaromyces marneffei isolate 11CN-20-091 chromosome 6, complete sequence</t>
  </si>
  <si>
    <t>Talaromyces marneffei strain TM4 chromosome 5, complete sequence</t>
  </si>
  <si>
    <t>Penicillium decumbens strain 114-2 glycoside hydrolase 45 protein (cel45a) gene, complete cds</t>
  </si>
  <si>
    <t>Chrysoporthe sp. MAF-2017a isolate CMW54409 chromosome 2</t>
  </si>
  <si>
    <t>Aspergillus alliaceus RlpA-like double-psi beta-barrel-protein domain-containing protein-containing protein (BDW43DRAFT_313092), partial mRNA</t>
  </si>
  <si>
    <t>Armillaria ostoyae strain C18/9 genome assembly, chromosome: LG2</t>
  </si>
  <si>
    <t>Grosmannia clavigera kw1407 beta-glucanase partial mRNA</t>
  </si>
  <si>
    <t>Clitopilus hobsonii strain QYL-10 chromosome 4</t>
  </si>
  <si>
    <t>Talaromyces stipitatus ATCC 10500 endoglucanase-5 precursor, putative, mRNA</t>
  </si>
  <si>
    <t>Agaricus bisporus var. bisporus H97 chromosome 6, complete sequence</t>
  </si>
  <si>
    <t>Agaricus bisporus strain KMCC00540 chromosome 6</t>
  </si>
  <si>
    <t>PREDICTED: Lingula anatina endoglucanase (LOC106152317), mRNA</t>
  </si>
  <si>
    <t>Agaricus bisporus var. bisporus strain H39 chromosome 6 sequence</t>
  </si>
  <si>
    <t>Talaromyces atroroseus hypothetical protein (UA08_06337), partial mRNA</t>
  </si>
  <si>
    <t>Talaromyces rugulosus uncharacterized protein (TRUGW13939_01356), partial mRNA</t>
  </si>
  <si>
    <t>Aspergillus nidulans FGSC A4 hypothetical protein (AN6786.2), partial mRNA</t>
  </si>
  <si>
    <t>Aspergillus mulundensis Uncharacterized protein (DSM5745_03906), partial mRNA</t>
  </si>
  <si>
    <t>TPA: Aspergillus nidulans FGSC A4 chromosome I</t>
  </si>
  <si>
    <t>Phialophora attae hypothetical protein (AB675_5513), partial mRNA</t>
  </si>
  <si>
    <t>Fomitopsis palustris Fpcel45a gene for endoglucanase, complete cds</t>
  </si>
  <si>
    <t>Trametes hirsuta strain 072 chromosome 8, complete sequence</t>
  </si>
  <si>
    <t>Phialocephala scopiformis glycoside hydrolase mRNA</t>
  </si>
  <si>
    <t>Aureobasidium namibiae CBS 147.97 hypothetical protein partial mRNA</t>
  </si>
  <si>
    <t>Trichoderma virens Gv29-8 glycoside hydrolase family 45 protein partial mRNA</t>
  </si>
  <si>
    <t>Trichoderma harzianum CBS 226.95 carbohydrate-binding module family 1 protein (M431DRAFT_521975), partial mRNA</t>
  </si>
  <si>
    <t>Saitoella complicata NRRL Y-17804 uncharacterized protein (SAICODRAFT_42275), partial mRNA</t>
  </si>
  <si>
    <t>Talaromyces funiculosus strain X33 chromosome 4</t>
  </si>
  <si>
    <t>Saitoella complicata NRRL Y-17804 uncharacterized protein (SAICODRAFT_51872), partial mRNA</t>
  </si>
  <si>
    <t>Cladophialophora carrionii CBS 160.54 hypothetical protein partial mRNA</t>
  </si>
  <si>
    <t>Aureobasidium pullulans EXF-150 uncharacterized protein (M438DRAFT_394499), mRNA</t>
  </si>
  <si>
    <t>Talaromyces rugulosus strain W13939 chromosome V</t>
  </si>
  <si>
    <t>Cladophialophora yegresii CBS 114405 hypothetical protein partial mRNA</t>
  </si>
  <si>
    <t>PREDICTED: Pomacea canaliculata endoglucanase-like (LOC112570705), mRNA</t>
  </si>
  <si>
    <t>Diplodia corticola endoglucanase v-like protein (BKCO1_1000595), partial mRNA</t>
  </si>
  <si>
    <t>Lasiodiplodia theobromae Endoglucanase v-like protein (LTHEOB_3847), partial mRNA</t>
  </si>
  <si>
    <t>Talaromyces rugulosus uncharacterized protein (TRUGW13939_09374), partial mRNA</t>
  </si>
  <si>
    <t>Letharia columbiana uncharacterized protein (HO173_002218), partial mRNA</t>
  </si>
  <si>
    <t>Lachnellula hyalina Endoglucanase-5 (egl5), partial mRNA</t>
  </si>
  <si>
    <t>Rasamsonia emersonii CBS 393.64 hypothetical protein mRNA</t>
  </si>
  <si>
    <t>Serpula lacrymans var. lacrymans S7.9 hypothetical protein (SERLADRAFT_415020), mRNA</t>
  </si>
  <si>
    <t>Letharia columbiana uncharacterized protein (HO173_010528), partial mRNA</t>
  </si>
  <si>
    <t>Letharia lupina uncharacterized protein (HO133_002134), partial mRNA</t>
  </si>
  <si>
    <t>Letharia lupina uncharacterized protein (HO133_009646), partial mRNA</t>
  </si>
  <si>
    <t>Acaromyces ingoldii hypothetical protein (FA10DRAFT_263981), mRNA</t>
  </si>
  <si>
    <t>cds80480_81464 S46.1 Armbor1</t>
  </si>
  <si>
    <t>Sparassis crispa Ubiquitin-conjugating enzyme E2-16 kDa (SCP_0605020), partial mRNA</t>
  </si>
  <si>
    <t>Agaricus bisporus var. burnettii JB137-S8 hypothetical protein (AGABI1DRAFT_114991), mRNA</t>
  </si>
  <si>
    <t>Mycena indigotica UBIQUITIN-CONJUGAT-2 domain-containing protein (MIND_00600500), partial mRNA</t>
  </si>
  <si>
    <t>Pleurotus ostreatus uncharacterized protein (PC9H_001900), partial mRNA</t>
  </si>
  <si>
    <t>Serpula lacrymans var. lacrymans S7.9 hypothetical protein (SERLADRAFT_471133), mRNA</t>
  </si>
  <si>
    <t>Dichomitus squalens LYAD-421 SS1 uncharacterized protein (DICSQDRAFT_140756), mRNA</t>
  </si>
  <si>
    <t>Postia placenta MAD-698-R-SB12 hypothetical protein (POSPLADRAFT_1066163), partial mRNA</t>
  </si>
  <si>
    <t>Phanerochaete carnosa HHB-10118-sp uncharacterized protein (PHACADRAFT_259165), partial mRNA</t>
  </si>
  <si>
    <t>Agaricus bisporus var. bisporus H97 hypothetical protein (AGABI2DRAFT_77446), partial mRNA</t>
  </si>
  <si>
    <t>Schizophyllum commune H4-8 uncharacterized protein (SCHCODRAFT_12064), mRNA</t>
  </si>
  <si>
    <t>Punctularia strigosozonata HHB-11173 SS5 hypothetical protein (PUNSTDRAFT_82588), mRNA</t>
  </si>
  <si>
    <t>Fomitiporia mediterranea MF3/22 uncharacterized protein (FOMMEDRAFT_144366), mRNA</t>
  </si>
  <si>
    <t>Cantharellus anzutake ubiquitin-conjugating enzyme/RWD-like protein (EI90DRAFT_2966277), mRNA</t>
  </si>
  <si>
    <t>Stereum hirsutum FP-91666 SS1 hypothetical protein (STEHIDRAFT_170373), partial mRNA</t>
  </si>
  <si>
    <t>Apiotrichum porosum hypothetical protein (EHS24_001102), partial mRNA</t>
  </si>
  <si>
    <t>Cryptococcus amylolentus CBS 6039 hypothetical protein (L202_06901), partial mRNA</t>
  </si>
  <si>
    <t>Cutaneotrichosporon oleaginosum uncharacterized protein (CC85DRAFT_281873), mRNA</t>
  </si>
  <si>
    <t>Kwoniella shandongensis uncharacterized protein (CI109_000029), partial mRNA</t>
  </si>
  <si>
    <t>Cryptococcus neoformans var. neoformans B-3501A hypothetical protein (CNBD4240) partial mRNA</t>
  </si>
  <si>
    <t>Kwoniella pini CBS 10737 ubiquitin-conjugating enzyme 4 partial mRNA</t>
  </si>
  <si>
    <t>Tsuchiyaea wingfieldii CBS 7118 ubiquitin-conjugating enzyme 4 (L198_04406), partial mRNA</t>
  </si>
  <si>
    <t>Cryptococcus gattii WM276 Ubiquitin conjugating enzyme partial mRNA</t>
  </si>
  <si>
    <t>Kwoniella dejecticola CBS 10117 ubiquitin-conjugating enzyme 4 partial mRNA</t>
  </si>
  <si>
    <t>Kwoniella mangroviensis CBS 8507 ubiquitin-conjugating enzyme 4 partial mRNA</t>
  </si>
  <si>
    <t>Kwoniella bestiolae CBS 10118 ubiquitin-conjugating enzyme 4 partial mRNA</t>
  </si>
  <si>
    <t>Kockovaella imperatae ubiquitin-conjugating enzyme/RWD-like protein (BD324DRAFT_587374), mRNA</t>
  </si>
  <si>
    <t>Cryptococcus neoformans var. neoformans JEC21 conserved hypothetical protein (CND02120), mRNA</t>
  </si>
  <si>
    <t>Cryptococcus neoformans var. grubii H99 ubiquitin-conjugating enzyme 4 (CNAG_01084), mRNA</t>
  </si>
  <si>
    <t>Tremella mesenterica DSM 1558 uncharacterized protein (TREMEDRAFT_18130), partial mRNA</t>
  </si>
  <si>
    <t>Schistosoma japonicum SJCHGC02746 protein mRNA, partial cds</t>
  </si>
  <si>
    <t>Rhodotorula toruloides NP11 ubiquitin-conjugating enzyme e2-16kda partial mRNA</t>
  </si>
  <si>
    <t>Rhodotorula graminis WP1 uncharacterized protein (RHOBADRAFT_35098), partial mRNA</t>
  </si>
  <si>
    <t>PREDICTED: Pollicipes pollicipes ubiquitin-conjugating enzyme E2-24 kDa-like (LOC119090409), mRNA</t>
  </si>
  <si>
    <t>PREDICTED: Pollicipes pollicipes ubiquitin-conjugating enzyme E2-24 kDa-like (LOC119089416), transcript variant X3, mRNA</t>
  </si>
  <si>
    <t>Melampsora larici-populina 98AG31 uncharacterized protein (MELLADRAFT_47703), mRNA</t>
  </si>
  <si>
    <t>PREDICTED: Pollicipes pollicipes ubiquitin-conjugating enzyme E2-24 kDa-like (LOC119089416), transcript variant X1, mRNA</t>
  </si>
  <si>
    <t>PREDICTED: Pollicipes pollicipes ubiquitin-conjugating enzyme E2-24 kDa-like (LOC119089416), transcript variant X2, mRNA</t>
  </si>
  <si>
    <t>Schistosoma mansoni putative ubiquitin conjugating enzyme E2 partial mRNA</t>
  </si>
  <si>
    <t>Capsaspora owczarzaki ATCC 30864 ubiquitin-conjugating enzyme mRNA</t>
  </si>
  <si>
    <t>Schistosoma japonicum SJCHGC02747 protein mRNA, partial cds</t>
  </si>
  <si>
    <t>Synthetic construct DNA, clone: pF1KB6933, Homo sapiens UBE2E3 gene for ubiquitin-conjugating enzyme E2E 3, without stop codon, in Flexi system</t>
  </si>
  <si>
    <t>Homo sapiens ubiquitin-conjugating enzyme E2E 3 (UBC4/5 homolog, yeast) mRNA, complete cds</t>
  </si>
  <si>
    <t>Synthetic construct Homo sapiens ubiquitin-conjugating enzyme E2E 3 (UBC4/5 homolog, yeast) mRNA, partial cds</t>
  </si>
  <si>
    <t>PREDICTED: Echeneis naucrates ubiquitin-conjugating enzyme E2 E1-like (LOC115044871), transcript variant X2, mRNA</t>
  </si>
  <si>
    <t>PREDICTED: Elephantulus edwardii ubiquitin-conjugating enzyme E2 E2-like (LOC102844158), mRNA</t>
  </si>
  <si>
    <t>Sus scrofa ubiquitin conjugating enzyme E2 E2 (UBE2E2), mRNA</t>
  </si>
  <si>
    <t>PREDICTED: Phasianus colchicus ubiquitin-conjugating enzyme E2 E1 (LOC116227105), transcript variant X4, mRNA</t>
  </si>
  <si>
    <t>Synthetic construct Xenopus tropicalis clone IMAGE:5308964 ubiquitin conjugating enzyme E2 E3 (ube2e3) gene, encodes complete protein</t>
  </si>
  <si>
    <t>PREDICTED: Echinops telfairi ubiquitin-conjugating enzyme E2 E2 (LOC101638902), mRNA</t>
  </si>
  <si>
    <t>PREDICTED: Egretta garzetta ubiquitin-conjugating enzyme E2 E2 (LOC104126121), mRNA</t>
  </si>
  <si>
    <t>PREDICTED: Puma concolor ubiquitin-conjugating enzyme E2 E2 (LOC112849310), mRNA</t>
  </si>
  <si>
    <t>PREDICTED: Aplysia californica ubiquitin-conjugating enzyme E2 E1 (LOC101845034), mRNA</t>
  </si>
  <si>
    <t>PREDICTED: Larimichthys crocea ubiquitin-conjugating enzyme E2 E1 (LOC104933086), mRNA</t>
  </si>
  <si>
    <t>PREDICTED: Seriola dumerili ubiquitin-conjugating enzyme E2 E1 (LOC111236900), mRNA</t>
  </si>
  <si>
    <t>PREDICTED: Elephantulus edwardii ubiquitin-conjugating enzyme E2E 1 (UBE2E1), transcript variant X1, mRNA</t>
  </si>
  <si>
    <t>Xenopus laevis ubiquitin-conjugating enzyme UBE2E3, mRNA (cDNA clone MGC:196256 IMAGE:9041163), complete cds</t>
  </si>
  <si>
    <t>PREDICTED: Puma concolor ubiquitin-conjugating enzyme E2 E1 (LOC112849581), transcript variant X1, mRNA</t>
  </si>
  <si>
    <t>H.sapiens mRNA for ubiquitin conjugating enzyme, UbcH6</t>
  </si>
  <si>
    <t>Xenopus laevis cDNA clone MGC:196260 IMAGE:9041167, complete cds</t>
  </si>
  <si>
    <t>Salmo salar clone ssal-eve-549-287 Ubiquitin-conjugating enzyme E2 E1 putative mRNA, complete cds</t>
  </si>
  <si>
    <t>PREDICTED: Austrofundulus limnaeus ubiquitin-conjugating enzyme E2 E1 (LOC106534515), mRNA</t>
  </si>
  <si>
    <t>Esox lucius ubiquitin-conjugating enzyme E2 E1 (LOC105021877), mRNA</t>
  </si>
  <si>
    <t>Cyanidioschyzon merolae strain 10D probable ubiquitin-conjugating enzyme E2 partial mRNA</t>
  </si>
  <si>
    <t>Synthetic construct Homo sapiens clone ccsbBroadEn_02448 UBE2E3 gene, encodes complete protein</t>
  </si>
  <si>
    <t>Salmo salar clone ssal-eve-534-384 Ubiquitin-conjugating enzyme E2 E1 putative mRNA, complete cds</t>
  </si>
  <si>
    <t>PREDICTED: Oncorhynchus nerka ubiquitin-conjugating enzyme E2 E1-like (LOC115104591), mRNA</t>
  </si>
  <si>
    <t>Esox lucius clone eluc-evq-517-214 Ubiquitin-conjugating enzyme E2 E1 putative mRNA, complete cds</t>
  </si>
  <si>
    <t>Schistosoma haematobium putative ubiquitin conjugating enzyme E2 (MS3_0014978), mRNA</t>
  </si>
  <si>
    <t>PREDICTED: Oryzias latipes ubiquitin-conjugating enzyme E2 E1 (LOC101156678), transcript variant X1, mRNA</t>
  </si>
  <si>
    <t>PREDICTED: Trematomus bernacchii ubiquitin-conjugating enzyme E2 E1 (LOC117468494), transcript variant X1, mRNA</t>
  </si>
  <si>
    <t>PREDICTED: Salmo trutta ubiquitin-conjugating enzyme E2 E1 (LOC115176958), mRNA</t>
  </si>
  <si>
    <t>PREDICTED: Sparus aurata ubiquitin-conjugating enzyme E2 E1-like (LOC115567055), transcript variant X3, mRNA</t>
  </si>
  <si>
    <t>PREDICTED: Myotis davidii ubiquitin-conjugating enzyme E2 E2 (LOC102758312), mRNA</t>
  </si>
  <si>
    <t>PREDICTED: Scophthalmus maximus ubiquitin-conjugating enzyme E2 E1 (LOC118285227), transcript variant X1, mRNA</t>
  </si>
  <si>
    <t>PREDICTED: Salvelinus namaycush ubiquitin-conjugating enzyme E2 E1-like (LOC120048377), mRNA</t>
  </si>
  <si>
    <t>PREDICTED: Tachyglossus aculeatus ubiquitin conjugating enzyme E2 E1 (UBE2E1), transcript variant X4, mRNA</t>
  </si>
  <si>
    <t>Babesia sp. Xinjiang Ubiquitin-conjugating enzyme E2 D2 (ube2d2), partial mRNA</t>
  </si>
  <si>
    <t>Theileria orientalis strain Shintoku ubiquitin carrier protein partial mRNA</t>
  </si>
  <si>
    <t>PREDICTED: Phasianus colchicus ubiquitin-conjugating enzyme E2 E1 (LOC116227105), transcript variant X3, mRNA</t>
  </si>
  <si>
    <t>PREDICTED: Oreochromis aureus ubiquitin-conjugating enzyme E2 E1 (LOC116311342), transcript variant X1, mRNA</t>
  </si>
  <si>
    <t>PREDICTED: Salmo trutta ubiquitin-conjugating enzyme E2 E1-like (LOC115178098), mRNA</t>
  </si>
  <si>
    <t>PREDICTED: Oryzias latipes ubiquitin-conjugating enzyme E2 E1 (LOC101156678), transcript variant X3, mRNA</t>
  </si>
  <si>
    <t>PREDICTED: Megalops cyprinoides ubiquitin-conjugating enzyme E2 E3 (LOC118789062), mRNA</t>
  </si>
  <si>
    <t>PREDICTED: Scophthalmus maximus ubiquitin-conjugating enzyme E2 E1 (LOC118285227), transcript variant X3, mRNA</t>
  </si>
  <si>
    <t>Sus scrofa clone rfat0126_m4.y1.abd, mRNA sequence</t>
  </si>
  <si>
    <t>PREDICTED: Oncorhynchus nerka ubiquitin-conjugating enzyme E2 E1-like (LOC115141124), transcript variant X2, mRNA</t>
  </si>
  <si>
    <t>PREDICTED: Oncorhynchus nerka ubiquitin-conjugating enzyme E2 E1-like (LOC115141124), transcript variant X1, mRNA</t>
  </si>
  <si>
    <t>PREDICTED: Oncorhynchus tshawytscha ubiquitin-conjugating enzyme E2 E1 (LOC112223011), transcript variant X2, mRNA</t>
  </si>
  <si>
    <t>PREDICTED: Oreochromis aureus ubiquitin-conjugating enzyme E2 E1 (LOC116311342), transcript variant X2, mRNA</t>
  </si>
  <si>
    <t>PREDICTED: Neolamprologus brichardi ubiquitin-conjugating enzyme E2 E1 (LOC102781296), transcript variant X2, mRNA</t>
  </si>
  <si>
    <t>Synthetic construct Homo sapiens clone ccsbBroadEn_01737 UBE2E2 gene, encodes complete protein</t>
  </si>
  <si>
    <t>PREDICTED: Pungitius pungitius ubiquitin-conjugating enzyme E2 E1-like (LOC119198034), mRNA</t>
  </si>
  <si>
    <t>PREDICTED: Salmo salar ubiquitin-conjugating enzyme E2 E1-like (LOC106605267), mRNA</t>
  </si>
  <si>
    <t>PREDICTED: Anabas testudineus ubiquitin-conjugating enzyme E2 E1-like (LOC113169868), mRNA</t>
  </si>
  <si>
    <t>Armbor 1 S46.1</t>
  </si>
  <si>
    <t>Armcep1 S262.2 and S270.2</t>
  </si>
  <si>
    <t>Metarhizium robertsii ARSEF 23 FK506 suppressor Sfk1 mRNA</t>
  </si>
  <si>
    <t>Metarhizium acridum CQMa 102 hypothetical protein partial mRNA</t>
  </si>
  <si>
    <t>Pochonia chlamydosporia 170 FK506 suppressor Sfk1 (VFPPC_18009), partial mRNA</t>
  </si>
  <si>
    <t>Coccidioides immitis RS FK506 suppressor Sfk1 (CIMG_11931), partial mRNA</t>
  </si>
  <si>
    <t>Coccidioides posadasii C735 delta SOWgp hypothetical protein (CPC735_000880), partial mRNA</t>
  </si>
  <si>
    <t>Candida hispaniensis genome assembly, chromosome: D</t>
  </si>
  <si>
    <t>Penicillium arizonense hypothetical protein (PENARI_c019G09689), partial mRNA</t>
  </si>
  <si>
    <t>Geosmithia morbida Frag1/DRAM/Sfk1 family (GMORB2_3306), partial mRNA</t>
  </si>
  <si>
    <t>Aspergillus candidus putative FK506 suppressor Sfk1 (BDW47DRAFT_108815), mRNA</t>
  </si>
  <si>
    <t>Aspergillus campestris IBT 28561 putative FK506 suppressor Sfk1 (P168DRAFT_268612), mRNA</t>
  </si>
  <si>
    <t>Penicillium expansum Frag1/DRAM/Sfk1 (PEX2_022760), partial mRNA</t>
  </si>
  <si>
    <t>Pleurotus ostreatus uncharacterized protein (PC9H_009562), partial mRNA</t>
  </si>
  <si>
    <t>Aspergillus felis strain FM324 chromosome 2</t>
  </si>
  <si>
    <t>Armcep1 S270.2</t>
  </si>
  <si>
    <t>PREDICTED: Prosopis alba syntaxin-52-like (LOC114724551), mRNA</t>
  </si>
  <si>
    <t>Yarrowia lipolytica CLIB122 YALI0B22110p partial mRNA</t>
  </si>
  <si>
    <t>Yarrowia lipolytica strain H222 (CLIB 80) chromosome B</t>
  </si>
  <si>
    <t>Yarrowia lipolytica strain IBT 446 chromosome B</t>
  </si>
  <si>
    <t>Yarrowia lipolytica WSH-Z06 complete genome, chromosome YALIOB</t>
  </si>
  <si>
    <t>Yarrowia lipolytica strain W29 (CLIB89) chromosome B</t>
  </si>
  <si>
    <t>Yarrowia lipolytica strain CLIB89(W29) chromosome 1B, complete sequence</t>
  </si>
  <si>
    <t>Yarrowia lipolytica CLIB122 chromosome B complete sequence</t>
  </si>
  <si>
    <t>Yarrowia lipolytica strain DSM 3286 chromosome C</t>
  </si>
  <si>
    <t>[Candida] auris uncharacterized protein (CJI97_000564), partial mRNA</t>
  </si>
  <si>
    <t>Suhomyces tanzawaensis NRRL Y-17324 WH1-domain-containing protein (CANTADRAFT_46530), partial mRNA</t>
  </si>
  <si>
    <t>Clavispora lusitaniae strain P4 chromosome 5</t>
  </si>
  <si>
    <t>Clavispora lusitaniae strain P5 chromosome 5</t>
  </si>
  <si>
    <t>Clavispora lusitaniae strain P3 chromosome 5</t>
  </si>
  <si>
    <t>Clavispora lusitaniae strain P2 chromosome 5</t>
  </si>
  <si>
    <t>Clavispora lusitaniae strain P1 chromosome 5</t>
  </si>
  <si>
    <t>Pichia kudriavzevii strain CY902 chromosome II</t>
  </si>
  <si>
    <t>Pichia kudriavzevii strain CBS573 chromosome 2, complete sequence</t>
  </si>
  <si>
    <t>Pichia kudriavzevii strain SJP chromosome 2</t>
  </si>
  <si>
    <t>Metschnikowia aff. pulcherrima strain APC 1.2 chromosome III, complete sequence</t>
  </si>
  <si>
    <t>cds2004224_2008299 S262.2 Armcep1</t>
  </si>
  <si>
    <t>cds1381694_1383232 S270.2 Armcep1</t>
  </si>
  <si>
    <t>cds1383471_1385202 S270.2 Armcep1</t>
  </si>
  <si>
    <t>cds1385424_1387015 S270.2 Armcep1</t>
  </si>
  <si>
    <t>cds1387245_1389786 S270.2 Armcep1</t>
  </si>
  <si>
    <t>cds2002949_2004026 S262.2 Armcep1</t>
  </si>
  <si>
    <t>Armfum1 S5.2</t>
  </si>
  <si>
    <t>Dacryopinax primogenitus uncharacterized protein (DACRYDRAFT_75668), partial mRNA</t>
  </si>
  <si>
    <t>Aspergillus wentii DTO 134E9 uncharacterized protein (ASPWEDRAFT_110084), partial mRNA</t>
  </si>
  <si>
    <t>Aspergillus luchuensis RIB2601 DNA, chromosome 8, nearly complete sequence</t>
  </si>
  <si>
    <t>Aspergillus luchuensis IFO 4308 DNA, chromosome 8, nearly complete sequence</t>
  </si>
  <si>
    <t>Linderina pennispora uncharacterized protein (DL89DRAFT_266326), mRNA</t>
  </si>
  <si>
    <t>Linderina pennispora uncharacterized protein (DL89DRAFT_225288), partial mRNA</t>
  </si>
  <si>
    <t>Zymoseptoria tritici strain WAI323 chromosome 1</t>
  </si>
  <si>
    <t>Zymoseptoria tritici strain WAI321 chromosome 1</t>
  </si>
  <si>
    <t>Zymoseptoria tritici strain WAI332 chromosome 1</t>
  </si>
  <si>
    <t>Aspergillus ruber CBS 135680 uncharacterized protein (EURHEDRAFT_514051), partial mRNA</t>
  </si>
  <si>
    <t>Zymoseptoria tritici isolate M4_64 chromosome 1</t>
  </si>
  <si>
    <t>Zymoseptoria tritici isolate M4_9 chromosome 1</t>
  </si>
  <si>
    <t>Zymoseptoria tritici isolate M3_19 chromosome 1</t>
  </si>
  <si>
    <t>Zymoseptoria tritici isolate M4_30 chromosome 1</t>
  </si>
  <si>
    <t>Zymoseptoria tritici isolate M3_45 chromosome 1</t>
  </si>
  <si>
    <t>Zymoseptoria tritici isolate M1_A2.2 chromosome 1</t>
  </si>
  <si>
    <t>Zymoseptoria tritici isolate M2_1 chromosome 1</t>
  </si>
  <si>
    <t>Zymoseptoria tritici isolate M1_A66.2 chromosome 1</t>
  </si>
  <si>
    <t>Zymoseptoria tritici isolate M2_11 chromosome 1</t>
  </si>
  <si>
    <t>Zymoseptoria tritici isolate M4_8 chromosome 1</t>
  </si>
  <si>
    <t>Aspergillus flavus NRRL3357 uncharacterized protein (G4B84_004454), partial mRNA</t>
  </si>
  <si>
    <t>Aspergillus pseudonomiae IucC family-domain-containing protein (BDV37DRAFT_295393), partial mRNA</t>
  </si>
  <si>
    <t>Aspergillus chevalieri M1 DNA, chromosome 4, nearly complete sequence</t>
  </si>
  <si>
    <t>Aspergillus chevalieri M1 DNA, chromosome 3, nearly complete sequence</t>
  </si>
  <si>
    <t>Aspergillus ruber CBS 135680 uncharacterized protein (EURHEDRAFT_513335), partial mRNA</t>
  </si>
  <si>
    <t>Aspergillus niger CBS 101883 uncharacterized protein (BO96DRAFT_443477), partial mRNA</t>
  </si>
  <si>
    <t>Aspergillus luchuensis uncharacterized protein (AKAW2_81329S), partial mRNA</t>
  </si>
  <si>
    <t>Suillus fuscotomentosus C2 domain-containing protein (F5891DRAFT_1129036), partial mRNA</t>
  </si>
  <si>
    <t>Suillus discolor C2 domain-containing protein (F5147DRAFT_745056), partial mRNA</t>
  </si>
  <si>
    <t>Suillus subaureus C2 domain-containing protein (BJ212DRAFT_1265161), partial mRNA</t>
  </si>
  <si>
    <t>Suillus subalutaceus uncharacterized protein (DFJ58DRAFT_716660), partial mRNA</t>
  </si>
  <si>
    <t>Suillus paluster C2 domain-containing protein (EDB91DRAFT_1048529), partial mRNA</t>
  </si>
  <si>
    <t>Suillus bovinus C2 domain-containing protein (EDB93DRAFT_1238293), partial mRNA</t>
  </si>
  <si>
    <t>Laetiporus sulphureus 93-53 uncharacterized protein (LAESUDRAFT_665347), partial mRNA</t>
  </si>
  <si>
    <t>Suillus plorans C2 domain-containing protein (HD556DRAFT_1521907), partial mRNA</t>
  </si>
  <si>
    <t>Suillus clintonianus uncharacterized protein (DEU56DRAFT_882448), mRNA</t>
  </si>
  <si>
    <t>Cantharellus anzutake uncharacterized protein (EI90DRAFT_3288948), partial mRNA</t>
  </si>
  <si>
    <t>Ustilago hordei uncharacterized protein (UHO2_07070), partial mRNA</t>
  </si>
  <si>
    <t>Schizophyllum commune H4-8 uncharacterized protein (SCHCODRAFT_103062), partial mRNA</t>
  </si>
  <si>
    <t>Ustilago maydis 521 hypothetical protein (UMAG_06398), partial mRNA</t>
  </si>
  <si>
    <t>Suillus subalutaceus uncharacterized protein (DFJ58DRAFT_319249), mRNA</t>
  </si>
  <si>
    <t>Suillus clintonianus uncharacterized protein (DEU56DRAFT_147649), mRNA</t>
  </si>
  <si>
    <t>Suillus bovinus uncharacterized protein (EDB93DRAFT_1076244), partial mRNA</t>
  </si>
  <si>
    <t>Suillus subaureus uncharacterized protein (BJ212DRAFT_1266467), partial mRNA</t>
  </si>
  <si>
    <t>Suillus discolor uncharacterized protein (F5147DRAFT_667528), mRNA</t>
  </si>
  <si>
    <t>Suillus plorans uncharacterized protein (HD556DRAFT_651782), mRNA</t>
  </si>
  <si>
    <t>Suillus fuscotomentosus uncharacterized protein (F5891DRAFT_1001518), mRNA</t>
  </si>
  <si>
    <t>Suillus paluster uncharacterized protein (EDB91DRAFT_420371), mRNA</t>
  </si>
  <si>
    <t>Coprinopsis cinerea okayama7#130 calcineurin temperature suppressor Cts1 (CC1G_14663), partial mRNA</t>
  </si>
  <si>
    <t>Laetiporus sulphureus 93-53 uncharacterized protein (LAESUDRAFT_754024), partial mRNA</t>
  </si>
  <si>
    <t>Stereum hirsutum FP-91666 SS1 hypothetical protein (STEHIDRAFT_146275), mRNA</t>
  </si>
  <si>
    <t>Fomitiporia mediterranea MF3/22 uncharacterized protein (FOMMEDRAFT_147688), mRNA</t>
  </si>
  <si>
    <t>Laetiporus sulphureus 93-53 uncharacterized protein (LAESUDRAFT_752112), mRNA</t>
  </si>
  <si>
    <t>Orbilia oligospora ATCC 24927 uncharacterized protein (AOL_s00076g126), partial mRNA</t>
  </si>
  <si>
    <t>Suillus clintonianus Frag1/DRAM/Sfk1 family-domain-containing protein (DEU56DRAFT_871945), partial mRNA</t>
  </si>
  <si>
    <t>Cucurbitaria berberidis CBS 394.84 uncharacterized protein (K460DRAFT_312518), partial mRNA</t>
  </si>
  <si>
    <t>Suillus fuscotomentosus Frag1/DRAM/Sfk1 (F5891DRAFT_122018), mRNA</t>
  </si>
  <si>
    <t>Suillus paluster Frag1/DRAM/Sfk1 family-domain-containing protein (EDB91DRAFT_1238911), partial mRNA</t>
  </si>
  <si>
    <t>Suillus discolor Frag1/DRAM/Sfk1 (F5147DRAFT_182866), mRNA</t>
  </si>
  <si>
    <t>Dacryopinax primogenitus uncharacterized protein (DACRYDRAFT_107739), partial mRNA</t>
  </si>
  <si>
    <t>Suillus bovinus Frag1/DRAM/Sfk1 (EDB93DRAFT_1082942), partial mRNA</t>
  </si>
  <si>
    <t>Pseudomassariella vexata Frag1/DRAM/Sfk1 family protein (BCR38DRAFT_418621), mRNA</t>
  </si>
  <si>
    <t>Aspergillus wentii DTO 134E9 uncharacterized protein (ASPWEDRAFT_26202), partial mRNA</t>
  </si>
  <si>
    <t>Suillus plorans Frag1/DRAM/Sfk1 family-domain-containing protein (HD556DRAFT_1394531), mRNA</t>
  </si>
  <si>
    <t>Drechmeria coniospora uncharacterized protein (DCS_06287), partial mRNA</t>
  </si>
  <si>
    <t>Penicillium griseofulvum Frag1/DRAM/Sfk1 (PGRI_091980), partial mRNA</t>
  </si>
  <si>
    <t>Alternaria burnsii fk506 suppressor sfk1 (GT037_007726), partial mRNA</t>
  </si>
  <si>
    <t>Penicillium griseofulvum Frag1/DRAM/Sfk1 (PGRI_042700), partial mRNA</t>
  </si>
  <si>
    <t>Protomyces lactucae-debilis Frag1/DRAM/Sfk1 (BCR37DRAFT_1584), mRNA</t>
  </si>
  <si>
    <t>Armfum1 S10.2</t>
  </si>
  <si>
    <t>Suillus clintonianus ubiquitin-conjugating enzyme/RWD-like protein (DEU56DRAFT_744666), partial mRNA</t>
  </si>
  <si>
    <t>Suillus discolor ubiquitin-conjugating enzyme/RWD-like protein (F5147DRAFT_635253), mRNA</t>
  </si>
  <si>
    <t>Suillus paluster ubiquitin-conjugating enzyme/RWD-like protein (EDB91DRAFT_1176668), mRNA</t>
  </si>
  <si>
    <t>Suillus bovinus ubiquitin-conjugating enzyme/RWD-like protein (EDB93DRAFT_1100144), partial mRNA</t>
  </si>
  <si>
    <t>Suillus subaureus ubiquitin-conjugating enzyme/RWD-like protein (BJ212DRAFT_1579455), mRNA</t>
  </si>
  <si>
    <t>Suillus subalutaceus ubiquitin-conjugating enzyme/RWD-like protein (DFJ58DRAFT_813413), mRNA</t>
  </si>
  <si>
    <t>Suillus fuscotomentosus ubiquitin-conjugating enzyme/RWD-like protein (F5891DRAFT_93119), mRNA</t>
  </si>
  <si>
    <t>Dacryopinax primogenitus uncharacterized protein (DACRYDRAFT_95070), partial mRNA</t>
  </si>
  <si>
    <t>Suillus plorans ubiquitin-conjugating enzyme/RWD-like protein (HD556DRAFT_1236714), partial mRNA</t>
  </si>
  <si>
    <t>PREDICTED: Xiphias gladius ubiquitin-conjugating enzyme E2 E1 (LOC120784533), mRNA</t>
  </si>
  <si>
    <t>PREDICTED: Coregonus clupeaformis ubiquitin-conjugating enzyme E2 E1 (LOC121561559), mRNA</t>
  </si>
  <si>
    <t>PREDICTED: Chelmon rostratus ubiquitin-conjugating enzyme E2 E1 (LOC121610226), mRNA</t>
  </si>
  <si>
    <t>PREDICTED: Coregonus clupeaformis ubiquitin-conjugating enzyme E2 E1 (LOC121561982), mRNA</t>
  </si>
  <si>
    <t>PREDICTED: Coregonus clupeaformis ubiquitin-conjugating enzyme E2 E1-like (LOC121563450), mRNA</t>
  </si>
  <si>
    <t>PREDICTED: Polyodon spathula ubiquitin-conjugating enzyme E2 E1 (LOC121312881), mRNA</t>
  </si>
  <si>
    <t>PREDICTED: Orycteropus afer afer ubiquitin-conjugating enzyme E2 E2 (LOC103193326), mRNA</t>
  </si>
  <si>
    <t>PREDICTED: Orycteropus afer afer ubiquitin conjugating enzyme E2 E1 (UBE2E1), mRNA</t>
  </si>
  <si>
    <t>PREDICTED: Passer montanus ubiquitin-conjugating enzyme E2 E1 (LOC120501019), transcript variant X4, mRNA</t>
  </si>
  <si>
    <t>Laetiporus sulphureus 93-53 uncharacterized protein (LAESUDRAFT_739658), partial mRNA</t>
  </si>
  <si>
    <t>Theileria parva strain Muguga chromosome 3 ubiquitin-conjugating enzyme (TP03_0448) partial mRNA</t>
  </si>
  <si>
    <t>Theileria annulata ubiquitin-conjugating enzyme E2, putative (TA04605), partial mRNA</t>
  </si>
  <si>
    <t>Phanerodontia chrysosporium egv mRNA for endoglucanase V-like protein, complete cds</t>
  </si>
  <si>
    <t>Dacryopinax primogenitus endoglucanase V-like protein (DACRYDRAFT_42981), partial mRNA</t>
  </si>
  <si>
    <t>Laetiporus sulphureus 93-53 glycoside hydrolase family 45 protein (LAESUDRAFT_174393), mRNA</t>
  </si>
  <si>
    <t>Talaromyces amestolkiae uncharacterized protein (BHQ10_005278), partial mRNA</t>
  </si>
  <si>
    <t>Pseudomassariella vexata RlpA-like double-psi beta-barrel-protein domain-containing protein-containing protein (BCR38DRAFT_330772), partial mRNA</t>
  </si>
  <si>
    <t>Aspergillus ochraceoroseus IBT 24754 uncharacterized protein (P175DRAFT_0505424), mRNA</t>
  </si>
  <si>
    <t>Cryphonectria parasitica EP155 family 45 glycoside hydrolase (M406DRAFT_349413), partial mRNA</t>
  </si>
  <si>
    <t>Trichoderma gamsii hypothetical protein (TGAM01_v206127), partial mRNA</t>
  </si>
  <si>
    <t>Cryphonectria parasitica EP155 family 45 glycoside hydrolase (M406DRAFT_71819), partial mRNA</t>
  </si>
  <si>
    <t>Cantharellus anzutake glycoside hydrolase (EI90DRAFT_2987455), mRNA</t>
  </si>
  <si>
    <t>Aureobasidium melanogenum strain TN3-1 chromosome 18</t>
  </si>
  <si>
    <t>Aureobasidium melanogenum CBS 110374 uncharacterized protein (M437DRAFT_72775), partial mRNA</t>
  </si>
  <si>
    <t>Trichoderma atroviride IMI 206040 glycoside hydrolase family 45 protein mRNA</t>
  </si>
  <si>
    <t>Trichoderma asperellum CBS 433.97 carbohydrate-binding module family 1 protein (M441DRAFT_155250), partial mRNA</t>
  </si>
  <si>
    <t>Trichoderma harzianum CBS 226.95 carbohydrate-binding module family 1 protein (M431DRAFT_89222), partial mRNA</t>
  </si>
  <si>
    <t>Trichoderma citrinoviride carbohydrate-binding module family 1 protein (BBK36DRAFT_1127360), partial mRNA</t>
  </si>
  <si>
    <t>Trichoderma asperellum DQ-1 chromosome 2, complete sequence</t>
  </si>
  <si>
    <t>Aureobasidium melanogenum strain TN3-1 chromosome 4</t>
  </si>
  <si>
    <t>Aureobasidium melanogenum strain P16 chromosome 7</t>
  </si>
  <si>
    <t>Rhizoctonia solani strain AG-1 IA isolate XN chromosome 6</t>
  </si>
  <si>
    <t>Ceratobasidium sp. AG-Ba isolate JN chromosome 22</t>
  </si>
  <si>
    <t>Dacryopinax primogenitus uncharacterized protein (DACRYDRAFT_117857), partial mRNA</t>
  </si>
  <si>
    <t>Ceratobasidium sp. AG-Ba isolate LY chromosome 6</t>
  </si>
  <si>
    <t>Ceratobasidium sp. AG-Ba isolate JN chromosome 6</t>
  </si>
  <si>
    <t>Acaromyces ingoldii hypothetical protein (FA10DRAFT_268172), mRNA</t>
  </si>
  <si>
    <t>Laetiporus sulphureus 93-53 uncharacterized protein (LAESUDRAFT_659143), partial mRNA</t>
  </si>
  <si>
    <t>Suillus bovinus uncharacterized protein (EDB93DRAFT_1145135), mRNA</t>
  </si>
  <si>
    <t>Suillus plorans uncharacterized protein (HD556DRAFT_1434302), partial mRNA</t>
  </si>
  <si>
    <t>Suillus subalutaceus uncharacterized protein (DFJ58DRAFT_790139), mRNA</t>
  </si>
  <si>
    <t>Suillus subaureus uncharacterized protein (BJ212DRAFT_1378044), mRNA</t>
  </si>
  <si>
    <t>Suillus paluster uncharacterized protein (EDB91DRAFT_1147772), mRNA</t>
  </si>
  <si>
    <t>Suillus clintonianus uncharacterized protein (DEU56DRAFT_891683), partial mRNA</t>
  </si>
  <si>
    <t>Suillus subalutaceus uncharacterized protein (DFJ58DRAFT_733977), partial mRNA</t>
  </si>
  <si>
    <t>Suillus subaureus uncharacterized protein (BJ212DRAFT_1365650), mRNA</t>
  </si>
  <si>
    <t>Suillus paluster uncharacterized protein (EDB91DRAFT_1348948), mRNA</t>
  </si>
  <si>
    <t>Suillus discolor uncharacterized protein (F5147DRAFT_693587), mRNA</t>
  </si>
  <si>
    <t>Suillus plorans uncharacterized protein (HD556DRAFT_1386992), mRNA</t>
  </si>
  <si>
    <t>Suillus paluster uncharacterized protein (EDB91DRAFT_1086956), partial mRNA</t>
  </si>
  <si>
    <t>Laetiporus sulphureus 93-53 WH1-domain-containing protein (LAESUDRAFT_744849), mRNA</t>
  </si>
  <si>
    <t>Suillus bovinus uncharacterized protein (EDB93DRAFT_116662), mRNA</t>
  </si>
  <si>
    <t>Ustilago hordei uncharacterized protein (UHO2_04884), partial mRNA</t>
  </si>
  <si>
    <t>Dacryopinax primogenitus PH domain-like protein (DACRYDRAFT_81999), partial mRNA</t>
  </si>
  <si>
    <t>[Candida] auris isolate CA18LBN chromosome 2</t>
  </si>
  <si>
    <t>[Candida] auris strain B11205 chromosome 2</t>
  </si>
  <si>
    <t>[Candida] auris strain B13916 chromosome 2</t>
  </si>
  <si>
    <t>[Candida] auris isolate CA28LBN chromosome 2</t>
  </si>
  <si>
    <t>[Candida] auris isolate CA11LBN chromosome 2</t>
  </si>
  <si>
    <t>[Candida] auris isolate CA2LBN chromosome 2</t>
  </si>
  <si>
    <t>[Candida] auris isolate CA23LBN chromosome 2</t>
  </si>
  <si>
    <t>[Candida] auris isolate CA8LBN chromosome 2</t>
  </si>
  <si>
    <t>[Candida] auris isolate CA15LBN chromosome 2</t>
  </si>
  <si>
    <t>[Candida] auris isolate CA10LBN chromosome 2</t>
  </si>
  <si>
    <t>[Candida] auris isolate CA24LBN chromosome 2</t>
  </si>
  <si>
    <t>[Candida] auris isolate CA20LBN chromosome 2</t>
  </si>
  <si>
    <t>[Candida] auris isolate CA7LBN chromosome II</t>
  </si>
  <si>
    <t>[Candida] auris isolate CA29LBN chromosome 2</t>
  </si>
  <si>
    <t>Saitoella complicata NRRL Y-17804 WH1-domain-containing protein (SAICODRAFT_4370), partial mRNA</t>
  </si>
  <si>
    <t xml:space="preserve"> cds403434_405053 S5.2 Armfum1 </t>
  </si>
  <si>
    <t xml:space="preserve">cds405183_406324 S5.2 Armfum1 </t>
  </si>
  <si>
    <t>cds400991_403145 S5.2 Armfum1</t>
  </si>
  <si>
    <t xml:space="preserve">cds600484_601401 S10.2 Armfum1 </t>
  </si>
  <si>
    <t xml:space="preserve">cds602851_603658 S10.2 Armfum1 </t>
  </si>
  <si>
    <t xml:space="preserve">cds604288_604972 S10.2 Armfum1 </t>
  </si>
  <si>
    <t xml:space="preserve">cds605223_606941 S10.2 Armfum1 </t>
  </si>
  <si>
    <t xml:space="preserve">cds607395_608992 S10.2 Armfum1 </t>
  </si>
  <si>
    <t>Armme1 S3.5</t>
  </si>
  <si>
    <t xml:space="preserve">cds2023987_2026140 S3.5 Armme1 </t>
  </si>
  <si>
    <t>Staphylococcus pseudintermedius strain DSP020 chromosome, complete genome</t>
  </si>
  <si>
    <t>Staphylococcus pseudintermedius strain DSP021 chromosome, complete genome</t>
  </si>
  <si>
    <t>Staphylococcus pseudintermedius strain FDAARGOS_1073 chromosome</t>
  </si>
  <si>
    <t>Staphylococcus pseudintermedius strain DG072 chromosome, complete genome</t>
  </si>
  <si>
    <t>Staphylococcus pseudintermedius strain FDAARGOS_1072 chromosome, complete genome</t>
  </si>
  <si>
    <t xml:space="preserve">cds2026415_2028037 S3.5 Armme1 </t>
  </si>
  <si>
    <t>PREDICTED: Quercus suber ingression protein 1-like (LOC112016155), partial mRNA</t>
  </si>
  <si>
    <t>Gaeumannomyces tritici R3-111a-1 hypothetical protein mRNA</t>
  </si>
  <si>
    <t>Exophiala aquamarina CBS 119918 hypothetical protein partial mRNA</t>
  </si>
  <si>
    <t>Pseudovirgaria hyperparasitica uncharacterized protein (EJ05DRAFT_490143), partial mRNA</t>
  </si>
  <si>
    <t>Cryptococcus amylolentus CBS 6039 hypothetical protein (L202_01754), mRNA</t>
  </si>
  <si>
    <t>Tsuchiyaea wingfieldii CBS 7118 hypothetical protein (L198_06101), partial mRNA</t>
  </si>
  <si>
    <t>cds2028247_2029312 S3.5 Armme1</t>
  </si>
  <si>
    <t>Aspergillus thermomutatus hypothetical protein (CDV56_106380), partial mRNA</t>
  </si>
  <si>
    <t>Aspergillus nomius NRRL 13137 uncharacterized protein (ANOM_003565), mRNA</t>
  </si>
  <si>
    <t>Aspergillus pseudonomius Frag1/DRAM/Sfk1 family-domain-containing protein (BDV37DRAFT_258744), mRNA</t>
  </si>
  <si>
    <t>Penicillium roqueforti uncharacterized protein (LCP9604111_2847), partial mRNA</t>
  </si>
  <si>
    <t>Aspergillus lentulus protein sfk1 (IFM58399_01829), partial mRNA</t>
  </si>
  <si>
    <t>Bipolaris victoriae FI3 hypothetical protein partial mRNA</t>
  </si>
  <si>
    <t>Bipolaris zeicola 26-R-13 hypothetical protein partial mRNA</t>
  </si>
  <si>
    <t>Leptosphaeria maculans JN3 hypothetical protein (LEMA_P064670.1), partial mRNA</t>
  </si>
  <si>
    <t>Armme1 S10.2</t>
  </si>
  <si>
    <t>cds1196939_1197612 S10.2 Armme1</t>
  </si>
  <si>
    <t>PREDICTED: Denticeps clupeoides ubiquitin-conjugating enzyme E2 E1 (LOC114789623), transcript variant X5, mRNA</t>
  </si>
  <si>
    <t>PREDICTED: Denticeps clupeoides ubiquitin-conjugating enzyme E2 E1 (LOC114789623), transcript variant X4, mRNA</t>
  </si>
  <si>
    <t>PREDICTED: Salvelinus alpinus ubiquitin-conjugating enzyme E2 E1 (LOC111958833), transcript variant X3, mRNA</t>
  </si>
  <si>
    <t>PREDICTED: Oncorhynchus tshawytscha ubiquitin-conjugating enzyme E2 E1-like (LOC112229904), mRNA</t>
  </si>
  <si>
    <t>PREDICTED: Echeneis naucrates ubiquitin-conjugating enzyme E2 E1-like (LOC115044871), transcript variant X1, mRNA</t>
  </si>
  <si>
    <t>PREDICTED: Gouania willdenowi ubiquitin-conjugating enzyme E2 E1-like (LOC114477629), mRNA</t>
  </si>
  <si>
    <t>PREDICTED: Oncorhynchus kisutch ubiquitin-conjugating enzyme E2 E1 (LOC109909013), transcript variant X2, mRNA</t>
  </si>
  <si>
    <t>PREDICTED: Esox lucius ubiquitin-conjugating enzyme E2 E1 (LOC105021877), transcript variant X2, mRNA</t>
  </si>
  <si>
    <t>PREDICTED: Gymnodraco acuticeps ubiquitin-conjugating enzyme E2 E1 (LOC117543160), transcript variant X1, mRNA</t>
  </si>
  <si>
    <t>PREDICTED: Anarrhichthys ocellatus ubiquitin-conjugating enzyme E2 E1-like (LOC116394409), mRNA</t>
  </si>
  <si>
    <t>PREDICTED: Oncorhynchus keta ubiquitin-conjugating enzyme E2 E1-like (LOC118367436), mRNA</t>
  </si>
  <si>
    <t>PREDICTED: Thalassophryne amazonica ubiquitin-conjugating enzyme E2 E1-like (LOC117514019), transcript variant X2, mRNA</t>
  </si>
  <si>
    <t>PREDICTED: Seriola lalandi dorsalis ubiquitin-conjugating enzyme E2 E1-like (LOC111644512), mRNA</t>
  </si>
  <si>
    <t>Synthetic construct Xenopus tropicalis clone IMAGE:5384233 ubiquitin conjugating enzyme E2 E1 (ube2e1) gene, encodes complete protein</t>
  </si>
  <si>
    <t>cds1199265_1200067 S10.2 Armme1</t>
  </si>
  <si>
    <t>Sparassis crispa predicted protein (SCP_0303870), partial mRNA</t>
  </si>
  <si>
    <t>Aplosporella prunicola CBS 121167 glycoside hydrolase family 45 protein (K452DRAFT_293416), mRNA</t>
  </si>
  <si>
    <t>Melampsora larici-populina 98AG31 uncharacterized protein (MELLADRAFT_76883), mRNA</t>
  </si>
  <si>
    <t>Postia placenta MAD-698-R-SB12 hypothetical protein (POSPLADRAFT_1130776), partial mRNA</t>
  </si>
  <si>
    <t>Aureobasidium subglaciale EXF-2481 glycoside hydrolase family 45 protein partial mRNA</t>
  </si>
  <si>
    <t>Aureobasidium pullulans EXF-150 uncharacterized protein (M438DRAFT_350241), mRNA</t>
  </si>
  <si>
    <t>cds1200698_1201370 S10.2 Armme1</t>
  </si>
  <si>
    <t>cds1201591_1203310 S10.2 Armme1</t>
  </si>
  <si>
    <t>Staphylococcus cohnii strain FDAARGOS_538 chromosome, complete genome</t>
  </si>
  <si>
    <t>Staphylococcus cohnii isolate Staphylococcus cohnii ATCC 29974 genome assembly, chromosome: I</t>
  </si>
  <si>
    <t>Aspergillus steynii IBT 23096 uncharacterized protein (P170DRAFT_366652), partial mRNA</t>
  </si>
  <si>
    <t>cds1203551_1205163 S10.2 Armme1</t>
  </si>
  <si>
    <t>Lobosporangium transversale hypothetical protein (BCR41DRAFT_426279), mRNA</t>
  </si>
  <si>
    <t>[Candida] auris isolate B11809 chromosome 3</t>
  </si>
  <si>
    <t>[Candida] auris strain B11220 chromosome 3</t>
  </si>
  <si>
    <t>Clavispora lusitaniae strain P2 chromosome 2</t>
  </si>
  <si>
    <t>Clavispora lusitaniae strain P1 chromosome 2</t>
  </si>
  <si>
    <t>cds1205833_1207565 S10.2 Armme1</t>
  </si>
  <si>
    <t>Gloeophyllum trabeum ATCC 11539 FAD/NAD P-binding domain-containing protein mRNA</t>
  </si>
  <si>
    <t>Pleurotus ostreatus uncharacterized protein (PC9H_007186), partial mRNA</t>
  </si>
  <si>
    <t>Sparassis crispa FAD-dependent monooxygenase OpS4 (SCP_0801170), partial mRNA</t>
  </si>
  <si>
    <t>Gloeophyllum trabeum ATCC 11539 FAD/NAD P-binding domain-containing protein partial mRNA</t>
  </si>
  <si>
    <t>Sparassis crispa FAD-dependent monooxygenase OpS4 (SCP_0801200), partial mRNA</t>
  </si>
  <si>
    <t>Aspergillus steynii IBT 23096 salicylate hydroxylase (P170DRAFT_443325), partial mRNA</t>
  </si>
  <si>
    <t>Postia placenta MAD-698-R-SB12 hypothetical protein (POSPLADRAFT_1141222), partial mRNA</t>
  </si>
  <si>
    <t>Serpula lacrymans var. lacrymans S7.9 hypothetical protein (SERLADRAFT_466663), mRNA</t>
  </si>
  <si>
    <t>Phanerochaete carnosa HHB-10118-sp uncharacterized protein (PHACADRAFT_250403), mRNA</t>
  </si>
  <si>
    <t>Dichomitus squalens LYAD-421 SS1 FAD/NAD(P)-binding domain-containing protein (DICSQDRAFT_113156), mRNA</t>
  </si>
  <si>
    <t>Punctularia strigosozonata HHB-11173 SS5 FAD/NAD(P)-binding domain-containing protein (PUNSTDRAFT_92859), mRNA</t>
  </si>
  <si>
    <t>Ganoderma boninense Q01446 gene for Maackiain detoxification</t>
  </si>
  <si>
    <t>Coniophora puteana RWD-64-598 SS2 FAD/NAD(P)-binding domain-containing protein mRNA</t>
  </si>
  <si>
    <t>Aspergillus ibericus CBS 121593 salicylate hydroxylase (BO80DRAFT_481753), partial mRNA</t>
  </si>
  <si>
    <t>Aspergillus sclerotioniger CBS 115572 salicylate hydroxylase (BO94DRAFT_461477), partial mRNA</t>
  </si>
  <si>
    <t>Aspergillus costaricaensis CBS 115574 salicylate hydroxylase (BO79DRAFT_220796), partial mRNA</t>
  </si>
  <si>
    <t>Aspergillus welwitschiae FAD/NAD(P)-binding domain-containing protein (BDQ94DRAFT_167399), partial mRNA</t>
  </si>
  <si>
    <t>Aspergillus niger CBS 513.88 salicylate hydroxylase partial mRNA</t>
  </si>
  <si>
    <t>Aspergillus nidulans FGSC A4 hypothetical protein (AN1881.2), partial mRNA</t>
  </si>
  <si>
    <t>Aspergillus tubingensis salicylate hydroxylase (AtWU_06605), partial mRNA</t>
  </si>
  <si>
    <t>Fomitiporia mediterranea MF3/22 FAD/NAD-binding domain-containing protein (FOMMEDRAFT_140532), partial mRNA</t>
  </si>
  <si>
    <t>Aspergillus tanneri uncharacterized protein (ATNIH1004_008501), partial mRNA</t>
  </si>
  <si>
    <t>Mycena indigotica FAD/NAD-P-binding domain-containing protein (MIND_01173800), partial mRNA</t>
  </si>
  <si>
    <t>Aspergillus neoniger CBS 115656 FAD/NAD(P)-binding domain-containing protein (BO87DRAFT_302000), partial mRNA</t>
  </si>
  <si>
    <t>Pleurotus ostreatus uncharacterized protein (PC9H_011585), partial mRNA</t>
  </si>
  <si>
    <t>Aspergillus pseudotamarii salicylate hydroxylase (BDV38DRAFT_271230), partial mRNA</t>
  </si>
  <si>
    <t>Aspergillus caelatus FAD/NAD(P)-binding domain-containing protein (BDV27DRAFT_37749), mRNA</t>
  </si>
  <si>
    <t>Talaromyces rugulosus uncharacterized protein (TRUGW13939_05895), partial mRNA</t>
  </si>
  <si>
    <t>Aspergillus lacticoffeatus CBS 101883 FAD/NAD(P)-binding domain-containing protein (BO96DRAFT_337329), partial mRNA</t>
  </si>
  <si>
    <t>Aspergillus mulundensis Uncharacterized protein (DSM5745_04753), partial mRNA</t>
  </si>
  <si>
    <t>Aspergillus homomorphus CBS 101889 salicylate hydroxylase (BO97DRAFT_410716), partial mRNA</t>
  </si>
  <si>
    <t>Trametes versicolor FP-101664 SS1 FAD/NAD-P-binding domain-containing protein mRNA</t>
  </si>
  <si>
    <t>Aspergillus alliaceus salicylate hydroxylase (BDW43DRAFT_299100), partial mRNA</t>
  </si>
  <si>
    <t>Fomitiporia mediterranea MF3/22 FAD/NAD-binding domain-containing protein (FOMMEDRAFT_159898), partial mRNA</t>
  </si>
  <si>
    <t>Aspergillus nomius NRRL 13137 putative salicylate hydroxylase (ANOM_008062), partial mRNA</t>
  </si>
  <si>
    <t>Penicillium roqueforti uncharacterized protein (LCP9604111_5717), partial mRNA</t>
  </si>
  <si>
    <t>Venustampulla echinocandica Uncharacterized protein (BP5553_09583), partial mRNA</t>
  </si>
  <si>
    <t>Aspergillus bombycis salicylate hydroxylase (ABOM_000905), partial mRNA</t>
  </si>
  <si>
    <t>Aspergillus eucalypticola CBS 122712 salicylate hydroxylase (BO83DRAFT_353103), partial mRNA</t>
  </si>
  <si>
    <t>Aspergillus vadensis CBS 113365 FAD/NAD(P)-binding domain-containing protein (BO88DRAFT_343506), partial mRNA</t>
  </si>
  <si>
    <t>Mytilinidion resinicola salicylate hydroxylase (BDZ99DRAFT_456465), partial mRNA</t>
  </si>
  <si>
    <t>Stereum hirsutum FP-91666 SS1 FAD/NAD-P-binding domain-containing protein (STEHIDRAFT_67718), partial mRNA</t>
  </si>
  <si>
    <t>Aspergillus piperis CBS 112811 FAD/NAD(P)-binding domain-containing protein (BO85DRAFT_300632), mRNA</t>
  </si>
  <si>
    <t>Fomitiporia mediterranea MF3/22 FAD/NAD-binding domain-containing protein (FOMMEDRAFT_23628), mRNA</t>
  </si>
  <si>
    <t>Penicillium arizonense hypothetical protein (PENARI_c025G03859), partial mRNA</t>
  </si>
  <si>
    <t>Fonsecaea erecta hypothetical protein (AYL99_11481), partial mRNA</t>
  </si>
  <si>
    <t>Fonsecaea monophora hypothetical protein (AYO21_05791), partial mRNA</t>
  </si>
  <si>
    <t>Schizophyllum commune H4-8 uncharacterized protein (SCHCODRAFT_68144), partial mRNA</t>
  </si>
  <si>
    <t>Postia placenta MAD-698-R-SB12 hypothetical protein (POSPLADRAFT_1144845), partial mRNA</t>
  </si>
  <si>
    <t>Fomitiporia mediterranea MF3/22 FAD/NAD-binding domain-containing protein (FOMMEDRAFT_92996), partial mRNA</t>
  </si>
  <si>
    <t>Fonsecaea erecta hypothetical protein (AYL99_10130), partial mRNA</t>
  </si>
  <si>
    <t>Coniosporium apollinis CBS 100218 hypothetical protein partial mRNA</t>
  </si>
  <si>
    <t>Capronia coronata CBS 617.96 salicylate hydroxylase partial mRNA</t>
  </si>
  <si>
    <t>Penicillium expansum Monooxygenase, FAD-binding (PEX2_058280), partial mRNA</t>
  </si>
  <si>
    <t>Scedosporium apiospermum 9,9'-di-cis-zeta-carotene desaturase (SAPIO_CDS0604), partial mRNA</t>
  </si>
  <si>
    <t>Coprinopsis cinerea okayama7#130 salicylate 1-monooxygenase (CC1G_06018), partial mRNA</t>
  </si>
  <si>
    <t>Trematosphaeria pertusa FAD/NAD(P)-binding domain-containing protein (BU26DRAFT_475252), partial mRNA</t>
  </si>
  <si>
    <t>Aureobasidium subglaciale EXF-2481 hypothetical protein partial mRNA</t>
  </si>
  <si>
    <t>Colletotrichum aenigma FAD-dependent monooxygenase OpS4 (OpS4-5), partial mRNA</t>
  </si>
  <si>
    <t>Apiotrichum porosum hypothetical protein (EHS24_007835), partial mRNA</t>
  </si>
  <si>
    <t>Trichoderma virens Gv29-8 hypothetical protein partial mRNA</t>
  </si>
  <si>
    <t>Colletotrichum siamense FAD-dependent monooxygenase OpS4 (OpS4-5), partial mRNA</t>
  </si>
  <si>
    <t>Colletotrichum fructicola uncharacterized protein (CGMCC3_g14245), partial mRNA</t>
  </si>
  <si>
    <t>Trichoderma harzianum CBS 226.95 hypothetical protein (M431DRAFT_556160), partial mRNA</t>
  </si>
  <si>
    <t>Fomitiporia mediterranea MF3/22 FAD/NAD-binding domain-containing protein (FOMMEDRAFT_112201), partial mRNA</t>
  </si>
  <si>
    <t>Phialocephala scopiformis FAD/NAD(P)-binding domain-containing protein mRNA</t>
  </si>
  <si>
    <t>Colletotrichum scovillei FAD binding domain-containing protein (HER10_EVM0003545), partial mRNA</t>
  </si>
  <si>
    <t>Penicillium chrysogenum Wisconsin 54-1255 hypothetical protein (Pc22g17670) mRNA, complete cds</t>
  </si>
  <si>
    <t>Fusarium vanettenii 77-13-4 uncharacterized protein (NECHADRAFT_82406), partial mRNA</t>
  </si>
  <si>
    <t>Aspergillus thermomutatus hypothetical protein (CDV56_102071), partial mRNA</t>
  </si>
  <si>
    <t>Aspergillus terreus NIH2624 conserved hypothetical protein (ATEG_06711) partial mRNA</t>
  </si>
  <si>
    <t>Grosmannia clavigera kw1407 salicylate hydroxylase partial mRNA</t>
  </si>
  <si>
    <t>Fusarium fujikuroi IMI 58289 related to salicylate hydroxylase (FFUJ_06709), partial mRNA</t>
  </si>
  <si>
    <t>Venustampulla echinocandica Uncharacterized protein (BP5553_07064), partial mRNA</t>
  </si>
  <si>
    <t>Colletotrichum orchidophilum FAD binding domain-containing protein (CORC01_05019), partial mRNA</t>
  </si>
  <si>
    <t>Fusarium proliferatum ET1 related to salicylate hydroxylase (FPRO_07239), partial mRNA</t>
  </si>
  <si>
    <t>Fusarium oxysporum NRRL 32931 salicylate hydroxylase (FOYG_07460), partial mRNA</t>
  </si>
  <si>
    <t>Fusarium odoratissimum NRRL 54006 salicylate hydroxylase (FOIG_14876), partial mRNA</t>
  </si>
  <si>
    <t>Fusarium tjaetaba salicylate hydroxylase (FTJAE_5479), partial mRNA</t>
  </si>
  <si>
    <t>Fusarium oxysporum f. sp. lycopersici 4287 salicylate hydroxylase partial mRNA</t>
  </si>
  <si>
    <t>Armnab1 S9.2</t>
  </si>
  <si>
    <t>cds798542_800721 S9.2 Armnab1</t>
  </si>
  <si>
    <t>cds801001_802621 S9.2 Armnab1</t>
  </si>
  <si>
    <t>Bipolaris maydis ATCC 48331 hypothetical protein partial mRNA</t>
  </si>
  <si>
    <t>Bipolaris oryzae ATCC 44560 hypothetical protein partial mRNA</t>
  </si>
  <si>
    <t>cds802861_803896 S9.2 Armnab1</t>
  </si>
  <si>
    <t>Exophiala lecanii-corni strain CBS 102400 chromosome 9, complete sequence</t>
  </si>
  <si>
    <t>cds804741_804970 S9.2 Armnab1</t>
  </si>
  <si>
    <t>Punctularia strigosozonata HHB-11173 SS5 cytochrome P450 (PUNSTDRAFT_66426), partial mRNA</t>
  </si>
  <si>
    <t>Armillaria ostoyae strain C18/9 genome assembly, chromosome: LG3</t>
  </si>
  <si>
    <t>Heterobasidion irregulare TC 32-1 cytochrome P450 monooxygenase 34 (cyp34), partial mRNA</t>
  </si>
  <si>
    <t>Punctularia strigosozonata HHB-11173 SS5 cytochrome P450 (PUNSTDRAFT_145565), partial mRNA</t>
  </si>
  <si>
    <t>Schizophyllum commune H4-8 uncharacterized protein (SCHCODRAFT_236468), partial mRNA</t>
  </si>
  <si>
    <t>Schizophyllum commune H4-8 uncharacterized protein (SCHCODRAFT_111260), partial mRNA</t>
  </si>
  <si>
    <t>Fonsecaea erecta hypothetical protein (AYL99_05133), partial mRNA</t>
  </si>
  <si>
    <t>Postia placenta MAD-698-R-SB12 hypothetical protein (POSPLADRAFT_1044157), partial mRNA</t>
  </si>
  <si>
    <t>Thanatephorus cucumeris cytochrome P450-8 mRNA, complete cds</t>
  </si>
  <si>
    <t>Clitopilus hobsonii strain QYL-10 chromosome 6</t>
  </si>
  <si>
    <t>Clitopilus hobsonii strain QYL-10 chromosome 10</t>
  </si>
  <si>
    <t>Mycena indigotica putative cytochrome P450 (MIND_00618300), partial mRNA</t>
  </si>
  <si>
    <t>Stereum hirsutum FP-91666 SS1 cytochrome P450 (STEHIDRAFT_75699), mRNA</t>
  </si>
  <si>
    <t>Clitopilus hobsonii strain QYL-10 chromosome 5</t>
  </si>
  <si>
    <t>Fonsecaea nubica hypothetical protein (AYO20_04229), partial mRNA</t>
  </si>
  <si>
    <t>Fonsecaea erecta hypothetical protein (AYL99_08650), partial mRNA</t>
  </si>
  <si>
    <t>Postia placenta PpCYP160 mRNA for cytochrome P450, complete cds</t>
  </si>
  <si>
    <t>Clitopilus hobsonii strain QYL-10 chromosome 8</t>
  </si>
  <si>
    <t>Lasiodiplodia theobromae Cytochrome P450 (LTHEOB_562), partial mRNA</t>
  </si>
  <si>
    <t>Penicillium arizonense hypothetical protein (PENARI_c153G12451), partial mRNA</t>
  </si>
  <si>
    <t>Punctularia strigosozonata HHB-11173 SS5 cytochrome P450 (PUNSTDRAFT_139086), partial mRNA</t>
  </si>
  <si>
    <t>Punctularia strigosozonata HHB-11173 SS5 cytochrome P450 (PUNSTDRAFT_108908), partial mRNA</t>
  </si>
  <si>
    <t>Punctularia strigosozonata HHB-11173 SS5 cytochrome P450 (PUNSTDRAFT_54536), mRNA</t>
  </si>
  <si>
    <t>Punctularia strigosozonata HHB-11173 SS5 cytochrome P450 (PUNSTDRAFT_145588), partial mRNA</t>
  </si>
  <si>
    <t>Punctularia strigosozonata HHB-11173 SS5 cytochrome P450 (PUNSTDRAFT_115600), partial mRNA</t>
  </si>
  <si>
    <t>Exophiala dermatitidis NIH/UT8656 cytochrome P450 partial mRNA</t>
  </si>
  <si>
    <t>Exophiala oligosperma hypothetical protein partial mRNA</t>
  </si>
  <si>
    <t>Schizophyllum commune H4-8 uncharacterized protein (SCHCODRAFT_59163), partial mRNA</t>
  </si>
  <si>
    <t>Sphaerulina musiva SO2202 O-methylsterigmatocystin oxidoreductase (SEPMUDRAFT_143070), partial mRNA</t>
  </si>
  <si>
    <t>Aspergillus piperis CBS 112811 O-methylsterigmatocystin oxidoreductase (BO85DRAFT_489913), partial mRNA</t>
  </si>
  <si>
    <t>Aspergillus luchuensis RIB2601 DNA, chromosome 5, nearly complete sequence</t>
  </si>
  <si>
    <t>Aspergillus luchuensis IFO 4308 DNA, chromosome 5, nearly complete sequence</t>
  </si>
  <si>
    <t>Aspergillus tubingensis O-methylsterigmatocystin oxidoreductase (AtWU_08223), partial mRNA</t>
  </si>
  <si>
    <t>Aspergillus costaricaensis CBS 115574 O-methylsterigmatocystin oxidoreductase (BO79DRAFT_227777), partial mRNA</t>
  </si>
  <si>
    <t>Schizophyllum commune H4-8 uncharacterized protein (SCHCODRAFT_106745), partial mRNA</t>
  </si>
  <si>
    <t>Punctularia strigosozonata HHB-11173 SS5 cytochrome P450 (PUNSTDRAFT_143939), partial mRNA</t>
  </si>
  <si>
    <t>Schizophyllum commune H4-8 uncharacterized protein (SCHCODRAFT_52600), partial mRNA</t>
  </si>
  <si>
    <t>Gloeophyllum trabeum ATCC 11539 cytochrome P450 mRNA</t>
  </si>
  <si>
    <t>Talaromyces rugulosus uncharacterized protein (TRUGW13939_00896), partial mRNA</t>
  </si>
  <si>
    <t>Armillaria gallica strain FU02472 terpene biosynthesis gene cluster, complete sequence</t>
  </si>
  <si>
    <t>Phialemoniopsis curvata uncharacterized protein (E0L32_008613), partial mRNA</t>
  </si>
  <si>
    <t>Mytilinidion resinicola putative cytochrome P450 (BDZ99DRAFT_520416), partial mRNA</t>
  </si>
  <si>
    <t>Aspergillus campestris IBT 28561 putative cytochrome P450 (P168DRAFT_235108), partial mRNA</t>
  </si>
  <si>
    <t>Schizophyllum commune H4-8 uncharacterized protein (SCHCODRAFT_44064), partial mRNA</t>
  </si>
  <si>
    <t>Schizophyllum commune H4-8 uncharacterized protein (SCHCODRAFT_233327), partial mRNA</t>
  </si>
  <si>
    <t>Fonsecaea monophora hypothetical protein (AYO21_10535), partial mRNA</t>
  </si>
  <si>
    <t>Fonsecaea nubica hypothetical protein (AYO20_06016), partial mRNA</t>
  </si>
  <si>
    <t>Phialophora attae Fumitremorgin C synthase (AB675_3409), partial mRNA</t>
  </si>
  <si>
    <t>Pleurotus ostreatus uncharacterized protein (PC9H_003927), partial mRNA</t>
  </si>
  <si>
    <t>Pleurotus ostreatus uncharacterized protein (PC9H_003934), partial mRNA</t>
  </si>
  <si>
    <t>Amorphotheca resinae ATCC 22711 hypothetical protein (M430DRAFT_136486), mRNA</t>
  </si>
  <si>
    <t>Baudoinia panamericana UAMH 10762 uncharacterized protein (BAUCODRAFT_62200), partial mRNA</t>
  </si>
  <si>
    <t>Fusarium tjaetaba cytochrome P450 monooxygenase (FTJAE_13662), partial mRNA</t>
  </si>
  <si>
    <t>Fusarium subglutinans cytochrome p450 (FSUBG_7737), partial mRNA</t>
  </si>
  <si>
    <t>Armnab1 S10.2</t>
  </si>
  <si>
    <t>cds1171736_1172561 S10.2 Armnab</t>
  </si>
  <si>
    <t>Armillaria ostoyae strain C18/9 genome assembly, chromosome: LG9</t>
  </si>
  <si>
    <t>Armillaria ostoyae strain C18/9 genome assembly, chromosome: LG4</t>
  </si>
  <si>
    <t>Armillaria ostoyae strain C18/9 genome assembly, chromosome: LG6</t>
  </si>
  <si>
    <t>Fomitiporia mediterranea MF3/22 WD40 repeat-like protein (FOMMEDRAFT_93341), partial mRNA</t>
  </si>
  <si>
    <t>Fusarium pseudograminearum strain Class2-1C chromosome 2</t>
  </si>
  <si>
    <t>Penicilliopsis zonata CBS 506.65 hypothetical protein (ASPZODRAFT_169878), mRNA</t>
  </si>
  <si>
    <t>Fomitiporia mediterranea MF3/22 WD40 repeat-like protein (FOMMEDRAFT_92350), partial mRNA</t>
  </si>
  <si>
    <t>Fusarium culmorum strain Class2-1B chromosome 3</t>
  </si>
  <si>
    <t>Fomitiporia mediterranea MF3/22 WD40 repeat-like protein (FOMMEDRAFT_170526), partial mRNA</t>
  </si>
  <si>
    <t>Fomitiporia mediterranea MF3/22 WD40 repeat-like protein (FOMMEDRAFT_94699), partial mRNA</t>
  </si>
  <si>
    <t>Fusarium culmorum strain Class2-1B chromosome 2</t>
  </si>
  <si>
    <t>Agaricus bisporus var. bisporus H97 hypothetical protein (AGABI2DRAFT_71377), partial mRNA</t>
  </si>
  <si>
    <t>Agaricus bisporus var. burnettii JB137-S8 hypothetical protein (AGABI1DRAFT_36621), partial mRNA</t>
  </si>
  <si>
    <t>Agaricus bisporus var. bisporus H97 hypothetical protein (AGABI2DRAFT_120766), partial mRNA</t>
  </si>
  <si>
    <t>Agaricus bisporus var. bisporus H97 chromosome 10 sequence</t>
  </si>
  <si>
    <t>Agaricus bisporus var. bisporus strain H39 chromosome 10, complete sequence</t>
  </si>
  <si>
    <t>Agaricus bisporus strain KMCC00540 chromosome 10</t>
  </si>
  <si>
    <t>Agaricus bisporus var. bisporus H97 hypothetical protein (AGABI2DRAFT_118419), partial mRNA</t>
  </si>
  <si>
    <t>Cantharellus anzutake uncharacterized protein (EI90DRAFT_2926916), partial mRNA</t>
  </si>
  <si>
    <t>Agaricus bisporus var. burnettii JB137-S8 hypothetical protein (AGABI1DRAFT_125818), partial mRNA</t>
  </si>
  <si>
    <t>Fusarium oxysporum isolate 170 chromosome 1</t>
  </si>
  <si>
    <t>Podospora anserina S mat+ genomic DNA chromosome 5, supercontig 1</t>
  </si>
  <si>
    <t>Podospora anserina genomic DNA, chromosome 5</t>
  </si>
  <si>
    <t>Podospora anserina S mat+ uncharacterized protein (PODANS_5_1230), partial mRNA</t>
  </si>
  <si>
    <t>Fomitiporia mediterranea MF3/22 WD40 repeat-like protein (FOMMEDRAFT_161836), partial mRNA</t>
  </si>
  <si>
    <t>Podospora comata strain T genome assembly, chromosome: 5</t>
  </si>
  <si>
    <t>Agaricus bisporus var. bisporus H97 hypothetical protein (AGABI2DRAFT_118434), partial mRNA</t>
  </si>
  <si>
    <t>Pleurotus ostreatus uncharacterized protein (PC9H_006748), partial mRNA</t>
  </si>
  <si>
    <t>Talaromyces stipitatus ATCC 10500 WD-repeat protein, putative, mRNA</t>
  </si>
  <si>
    <t>Talaromyces marneffei ATCC 18224 NACHT and WD40 domain protein (PMAA_098860), mRNA</t>
  </si>
  <si>
    <t>Fusarium graminearum chromosome 4, complete genome</t>
  </si>
  <si>
    <t>Fomitiporia mediterranea MF3/22 WD40 repeat-like protein (FOMMEDRAFT_22826), partial mRNA</t>
  </si>
  <si>
    <t>Fomitiporia mediterranea MF3/22 WD40 repeat-like protein (FOMMEDRAFT_102090), partial mRNA</t>
  </si>
  <si>
    <t>Fusarium oxysporum Fo47 chromosome VI</t>
  </si>
  <si>
    <t>Fusarium oxysporum Fo5176 chromosome 5</t>
  </si>
  <si>
    <t>Agaricus bisporus var. burnettii JB137-S8 hypothetical protein (AGABI1DRAFT_105039), partial mRNA</t>
  </si>
  <si>
    <t>Macroventuria anomochaeta uncharacterized protein (BU25DRAFT_345970), partial mRNA</t>
  </si>
  <si>
    <t>Trichoderma gamsii hypothetical protein (TGAM01_v208866), partial mRNA</t>
  </si>
  <si>
    <t>Fusarium graminearum chromosome 1, complete genome</t>
  </si>
  <si>
    <t>Fusarium oxysporum f. sp. lycopersici 4287 hypothetical protein partial mRNA</t>
  </si>
  <si>
    <t>Fusarium graminearum genome assembly, chromosome: IV</t>
  </si>
  <si>
    <t>Talaromyces marneffei strain TM4 chromosome 4, complete sequence</t>
  </si>
  <si>
    <t>Talaromyces marneffei isolate 11CN-20-091 chromosome 5, complete sequence</t>
  </si>
  <si>
    <t>Pleurotus ostreatus POC1 centriolar protein A (POC1A_2), partial mRNA</t>
  </si>
  <si>
    <t>Byssochlamys spectabilis hypothetical protein (C8Q69DRAFT_465987), mRNA</t>
  </si>
  <si>
    <t>Fomitiporia mediterranea MF3/22 WD40 repeat-like protein (FOMMEDRAFT_92922), partial mRNA</t>
  </si>
  <si>
    <t>Fusarium venenatum uncharacterized protein (FVRRES_11037), partial mRNA</t>
  </si>
  <si>
    <t>Fusarium venenatum strain A3/5 genome assembly, chromosome: III</t>
  </si>
  <si>
    <t>Agaricus bisporus var. bisporus H97 hypothetical protein (AGABI2DRAFT_116669), partial mRNA</t>
  </si>
  <si>
    <t>Pleurotus ostreatus POC1 centriolar protein A (POC1A_1), partial mRNA</t>
  </si>
  <si>
    <t>Cantharellus anzutake uncharacterized protein (EI90DRAFT_839340), mRNA</t>
  </si>
  <si>
    <t>Letharia columbiana uncharacterized protein (HO173_006387), partial mRNA</t>
  </si>
  <si>
    <t>Letharia lupina uncharacterized protein (HO133_006825), partial mRNA</t>
  </si>
  <si>
    <t>Serpula lacrymans var. lacrymans S7.9 hypothetical protein (SERLADRAFT_432916), partial mRNA</t>
  </si>
  <si>
    <t>Postia placenta MAD-698-R-SB12 hypothetical protein (POSPLADRAFT_1033289), partial mRNA</t>
  </si>
  <si>
    <t>Cantharellus anzutake uncharacterized protein (EI90DRAFT_2936052), partial mRNA</t>
  </si>
  <si>
    <t>Fomitiporia mediterranea MF3/22 WD40 repeat-like protein (FOMMEDRAFT_80718), partial mRNA</t>
  </si>
  <si>
    <t>Fomitiporia mediterranea MF3/22 WD40 repeat-like protein (FOMMEDRAFT_160318), partial mRNA</t>
  </si>
  <si>
    <t>Fomitiporia mediterranea MF3/22 WD40 repeat-like protein (FOMMEDRAFT_101494), partial mRNA</t>
  </si>
  <si>
    <t>Fomitiporia mediterranea MF3/22 WD40 repeat-like protein (FOMMEDRAFT_164790), partial mRNA</t>
  </si>
  <si>
    <t>Fusarium oxysporum Fo5176 chromosome 1</t>
  </si>
  <si>
    <t>Aspergillus aculeatinus CBS 121060 hypothetical protein (BO66DRAFT_298286), partial mRNA</t>
  </si>
  <si>
    <t>Fusarium oxysporum f. sp. lycopersici 4287 hypothetical protein mRNA</t>
  </si>
  <si>
    <t>Aspergillus glaucus CBS 516.65 hypothetical protein (ASPGLDRAFT_124292), partial mRNA</t>
  </si>
  <si>
    <t>Fomitiporia mediterranea MF3/22 WD40 repeat-like protein (FOMMEDRAFT_23619), mRNA</t>
  </si>
  <si>
    <t>Fomitiporia mediterranea MF3/22 WD40 repeat-like protein (FOMMEDRAFT_161719), partial mRNA</t>
  </si>
  <si>
    <t>Agaricus bisporus var. bisporus H97 hypothetical protein (AGABI2DRAFT_205341), partial mRNA</t>
  </si>
  <si>
    <t>Trichoderma gamsii hypothetical protein (TGAM01_v211053), partial mRNA</t>
  </si>
  <si>
    <t>Chrysoporthe sp. MAF-2017a isolate CMW54409 chromosome 8</t>
  </si>
  <si>
    <t>Fomitiporia mediterranea MF3/22 WD40 repeat-like protein (FOMMEDRAFT_164748), partial mRNA</t>
  </si>
  <si>
    <t>Fusarium venenatum uncharacterized protein (FVRRES_11019), partial mRNA</t>
  </si>
  <si>
    <t>Fusarium oxysporum Fo5176 chromosome 12</t>
  </si>
  <si>
    <t>Cantharellus anzutake uncharacterized protein (EI90DRAFT_839989), mRNA</t>
  </si>
  <si>
    <t>Lindgomyces ingoldianus uncharacterized protein (BDR25DRAFT_269130), mRNA</t>
  </si>
  <si>
    <t>Cantharellus anzutake uncharacterized protein (EI90DRAFT_2926392), partial mRNA</t>
  </si>
  <si>
    <t>Fomitiporia mediterranea MF3/22 WD40 repeat-like protein (FOMMEDRAFT_96658), partial mRNA</t>
  </si>
  <si>
    <t>Paraphaeosphaeria sporulosa putative WD-repeat protein mRNA</t>
  </si>
  <si>
    <t>Fomitiporia mediterranea MF3/22 WD40 repeat-like protein (FOMMEDRAFT_160317), partial mRNA</t>
  </si>
  <si>
    <t>Pochonia chlamydosporia 170 WD-repeat protein (VFPPC_05518), partial mRNA</t>
  </si>
  <si>
    <t>Lindgomyces ingoldianus uncharacterized protein (BDR25DRAFT_346335), partial mRNA</t>
  </si>
  <si>
    <t>Cantharellus anzutake uncharacterized protein (EI90DRAFT_2907679), partial mRNA</t>
  </si>
  <si>
    <t>Fomitiporia mediterranea MF3/22 WD40 repeat-like protein (FOMMEDRAFT_45985), partial mRNA</t>
  </si>
  <si>
    <t>Fomitiporia mediterranea MF3/22 WD40 repeat-like protein (FOMMEDRAFT_96653), partial mRNA</t>
  </si>
  <si>
    <t>Penicillium arizonense hypothetical protein (PENARI_c087G11839), partial mRNA</t>
  </si>
  <si>
    <t>Fomitiporia mediterranea MF3/22 WD40 repeat-like protein (FOMMEDRAFT_33100), partial mRNA</t>
  </si>
  <si>
    <t>Fomitiporia mediterranea MF3/22 WD40 repeat-like protein (FOMMEDRAFT_153939), partial mRNA</t>
  </si>
  <si>
    <t>Fomitiporia mediterranea MF3/22 WD40 repeat-like protein (FOMMEDRAFT_92804), partial mRNA</t>
  </si>
  <si>
    <t>Mytilinidion resinicola uncharacterized protein (BDZ99DRAFT_526977), partial mRNA</t>
  </si>
  <si>
    <t>Penicilliopsis zonata CBS 506.65 hypothetical protein (ASPZODRAFT_61828), partial mRNA</t>
  </si>
  <si>
    <t>Fomitiporia mediterranea MF3/22 uncharacterized protein (FOMMEDRAFT_48235), partial mRNA</t>
  </si>
  <si>
    <t>Fomitiporia mediterranea MF3/22 WD40 repeat-like protein (FOMMEDRAFT_34813), partial mRNA</t>
  </si>
  <si>
    <t>Mytilinidion resinicola uncharacterized protein (BDZ99DRAFT_555664), partial mRNA</t>
  </si>
  <si>
    <t>cds1175307_1176081 S10.2 Armnab</t>
  </si>
  <si>
    <t>Pseudomicrostroma glucosiphilum hypothetical protein (BCV69DRAFT_281014), mRNA</t>
  </si>
  <si>
    <t>Isaria fumosorosea ARSEF 2679 SNARE complex subunit (Syn8) (ISF_06642), partial mRNA</t>
  </si>
  <si>
    <t>Wallemia ichthyophaga EXF-994 hypothetical protein partial mRNA</t>
  </si>
  <si>
    <t>Wallemia mellicola CBS 633.66 hypothetical protein mRNA</t>
  </si>
  <si>
    <t>Wallemia mellicola CBS 633.66 p53-like transcription factor mRNA</t>
  </si>
  <si>
    <t>cds1176320_1178037 S10.2 Armnab</t>
  </si>
  <si>
    <t>cds1178245_1179830 S10.2 Armnab</t>
  </si>
  <si>
    <t>Rhodotorula graminis WP1 uncharacterized protein (RHOBADRAFT_56597), partial mRNA</t>
  </si>
  <si>
    <t>Phycomyces blakesleeanus NRRL 1555(-) hypothetical protein partial mRNA</t>
  </si>
  <si>
    <t>[Candida] auris strain B12037 chromosome 2</t>
  </si>
  <si>
    <t>[Candida] auris strain B12342 chromosome 2</t>
  </si>
  <si>
    <t>[Candida] auris strain B17721 chromosome 2</t>
  </si>
  <si>
    <t>[Candida] auris strain B12631 chromosome 2</t>
  </si>
  <si>
    <t>cds1180059_1182590 S10.2 Armnab</t>
  </si>
  <si>
    <t>Cantharellus anzutake glutamate-tRNA ligase (EI90DRAFT_3029080), mRNA</t>
  </si>
  <si>
    <t>Aspergillus fischeri NRRL 181 glutamyl-tRNA synthetase (NFIA_038550), partial mRNA</t>
  </si>
  <si>
    <t>Aspergillus novofumigatus IBT 16806 glutamyl-tRNA synthetase (P174DRAFT_438436), mRNA</t>
  </si>
  <si>
    <t>Aspergillus thermomutatus hypothetical protein (CDV56_105258), partial mRNA</t>
  </si>
  <si>
    <t>Aspergillus lentulus probable glutamate--tRNA ligase, cytoplasmic (IFM58399_05977), partial mRNA</t>
  </si>
  <si>
    <t>Aspergillus fumigatus Af293 glutamyl-tRNA synthetase (AFUA_5G03560), partial mRNA</t>
  </si>
  <si>
    <t>Aspergillus terreus NIH2624 glutamyl-tRNA synthetase (ATEG_08056) partial mRNA</t>
  </si>
  <si>
    <t>Aspergillus welwitschiae tRNA synthetases class I, catalytic domain-domain-containing protein (BDQ94DRAFT_144793), mRNA</t>
  </si>
  <si>
    <t>Aspergillus lacticoffeatus CBS 101883 glutamyl-tRNA synthetase (BO96DRAFT_453858), mRNA</t>
  </si>
  <si>
    <t>Aspergillus niger CBS 513.88 glutamyl-tRNA synthetase, cytoplasmic, mRNA</t>
  </si>
  <si>
    <t>Aspergillus chevalieri M1 DNA, chromosome 6, nearly complete sequence</t>
  </si>
  <si>
    <t>Aspergillus pseudonomius tRNA synthetases class I, catalytic domain-containing protein (BDV37DRAFT_273654), partial mRNA</t>
  </si>
  <si>
    <t>Aspergillus bombycis glutamyl-tRNA synthetase (ABOM_010779), partial mRNA</t>
  </si>
  <si>
    <t>Aspergillus nomius NRRL 13137 glutamyl-tRNA synthetase (ANOM_002772), partial mRNA</t>
  </si>
  <si>
    <t>Aspergillus heteromorphus CBS 117.55 glutamyl-tRNA synthetase (BO70DRAFT_362780), mRNA</t>
  </si>
  <si>
    <t>Aspergillus homomorphus CBS 101889 glutamyl-tRNA synthetase (BO97DRAFT_396755), mRNA</t>
  </si>
  <si>
    <t>Penicillium arizonense hypothetical protein (PENARI_c002G06599), partial mRNA</t>
  </si>
  <si>
    <t>Mytilinidion resinicola glutamyl-tRNA synthetase (BDZ99DRAFT_576388), mRNA</t>
  </si>
  <si>
    <t>Marssonina brunnea f. sp. 'multigermtubi' MB_m1 glutamyl-tRNA synthetase (MBM_02106), mRNA</t>
  </si>
  <si>
    <t>Pneumocystis jirovecii RU7 glutamate-tRNA ligase (T551_00469), partial mRNA</t>
  </si>
  <si>
    <t>Kwoniella mangroviensis CBS 8507 glutamate-tRNA ligase partial mRNA</t>
  </si>
  <si>
    <t>Cryptococcus amylolentus CBS 6039 glutamate-tRNA ligase (L202_03230), mRNA</t>
  </si>
  <si>
    <t>Kwoniella bestiolae CBS 10118 glutamate-tRNA ligase partial mRNA</t>
  </si>
  <si>
    <t>Tsuchiyaea wingfieldii CBS 7118 glutamate-tRNA ligase (L198_07803), partial mRNA</t>
  </si>
  <si>
    <t>Armnov1 S5.8</t>
  </si>
  <si>
    <t>cds2225736_2227895 S5.8 Armnov1</t>
  </si>
  <si>
    <t>cds2228420_2229804 S5.8 Armnov1</t>
  </si>
  <si>
    <t>Malassezia globosa CBS 7966 hypothetical protein MGL_3070 partial mRNA</t>
  </si>
  <si>
    <t>Malassezia globosa strain CBS7966 chromosome 7</t>
  </si>
  <si>
    <t>Malassezia pachydermatis calcineurin temperature suppressor cts1 (Malapachy_0273), partial mRNA</t>
  </si>
  <si>
    <t>Cutaneotrichosporon oleaginosum uncharacterized protein (CC85DRAFT_284532), mRNA</t>
  </si>
  <si>
    <t>Kwoniella shandongensis uncharacterized protein (CI109_000606), partial mRNA</t>
  </si>
  <si>
    <t>Trichosporon asahii var. asahii CBS 2479 hypothetical protein partial mRNA</t>
  </si>
  <si>
    <t>Apiotrichum porosum hypothetical protein (EHS24_007822), partial mRNA</t>
  </si>
  <si>
    <t>Ceraceosorus guamensis hypothetical protein (IE81DRAFT_319191), mRNA</t>
  </si>
  <si>
    <t>Rhizopus microsporus ATCC 52813 hypothetical protein (RHIMIDRAFT_116568), mRNA</t>
  </si>
  <si>
    <t>Kwoniella dejecticola CBS 10117 hypothetical protein partial mRNA</t>
  </si>
  <si>
    <t>Lobosporangium transversale hypothetical protein (BCR41DRAFT_344101), mRNA</t>
  </si>
  <si>
    <t>cds2229980_2231054 S5.8 Armnov1</t>
  </si>
  <si>
    <t>Podospora comata strain Wa139- chromosome 2, complete sequence</t>
  </si>
  <si>
    <t>(Des)Armect1 S5.4</t>
  </si>
  <si>
    <t>Chaetomium thermophilum var. thermophilum DSM 1495 hypothetical protein (CTHT_0063950), partial mRNA</t>
  </si>
  <si>
    <t>Isaria fumosorosea ARSEF 2679 C2 calcium/lipid-binding domain, CaLB (ISF_05774), partial mRNA</t>
  </si>
  <si>
    <t>Purpureocillium lilacinum conserved serine proline-rich protein (VFPFJ_08662), partial mRNA</t>
  </si>
  <si>
    <t>Ascochyta rabiei uncharacterized protein (EKO05_009355), partial mRNA</t>
  </si>
  <si>
    <t>Cordyceps militaris CM01 conserved serine proline-rich protein (CCM_00915), partial mRNA</t>
  </si>
  <si>
    <t>Pleurotus ostreatus uncharacterized protein (PC9H_009563), partial mRNA</t>
  </si>
  <si>
    <t>Agaricus bisporus var. burnettii JB137-S8 hypothetical protein (AGABI1DRAFT_26292), partial mRNA</t>
  </si>
  <si>
    <t>Colletotrichum siamense Protein sfk1 (sfk1), partial mRNA</t>
  </si>
  <si>
    <t>Colletotrichum aenigma Protein sfk1 (sfk1), partial mRNA</t>
  </si>
  <si>
    <t>Lindgomyces ingoldianus uncharacterized protein (BDR25DRAFT_254779), mRNA</t>
  </si>
  <si>
    <t>Pyricularia pennisetigena uncharacterized protein (PpBr36_02394), partial mRNA</t>
  </si>
  <si>
    <t>Dothidotthia symphoricarpi CBS 119687 uncharacterized protein (P153DRAFT_107512), mRNA</t>
  </si>
  <si>
    <t>Aspergillus neoniger CBS 115656 hypothetical protein (BO87DRAFT_319092), partial mRNA</t>
  </si>
  <si>
    <t>Aspergillus tubingensis FK506 suppressor Sfk1 (AtWU_00039), partial mRNA</t>
  </si>
  <si>
    <t>Aspergillus vadensis CBS 113365 hypothetical protein (BO88DRAFT_402739), mRNA</t>
  </si>
  <si>
    <t>Fusarium venenatum uncharacterized protein (FVRRES_12250), partial mRNA</t>
  </si>
  <si>
    <t>Aspergillus lacticoffeatus CBS 101883 hypothetical protein (BO96DRAFT_434435), partial mRNA</t>
  </si>
  <si>
    <t>Neohortaea acidophila SFK1-like membrane protein (BDY17DRAFT_301930), mRNA</t>
  </si>
  <si>
    <t>Bipolaris maydis ATCC 48331 hypothetical protein mRNA</t>
  </si>
  <si>
    <t>Punctularia strigosozonata HHB-11173 SS5 cytochrome P450 (PUNSTDRAFT_125999), partial mRNA</t>
  </si>
  <si>
    <t>Aspergillus puulaauensis MK2 DNA, chromosome 4, nearly complete sequence</t>
  </si>
  <si>
    <t>Talaromyces rugulosus uncharacterized protein (TRUGW13939_11864), partial mRNA</t>
  </si>
  <si>
    <t>Penicillium terrestre MacC gene, complete cds</t>
  </si>
  <si>
    <t>Penicillium terrestre isolate LM2 macrophorin biosynthetic gene cluster, complete sequence</t>
  </si>
  <si>
    <t>Stereum hirsutum FP-91666 SS1 cytochrome P450 (STEHIDRAFT_135145), partial mRNA</t>
  </si>
  <si>
    <t>Daldinia childiae Cytochrome P450 81E8 (GL218_01770), partial mRNA</t>
  </si>
  <si>
    <t>Pleurotus ostreatus uncharacterized protein (PC9H_011236), partial mRNA</t>
  </si>
  <si>
    <t>Punctularia strigosozonata HHB-11173 SS5 cytochrome P450 (PUNSTDRAFT_114963), partial mRNA</t>
  </si>
  <si>
    <t>Phialophora attae Fumitremorgin C synthase (AB675_6156), partial mRNA</t>
  </si>
  <si>
    <t>Exophiala mesophila hypothetical protein partial mRNA</t>
  </si>
  <si>
    <t>Dothidotthia symphoricarpi CBS 119687 putative cytochrome P450 monooxygenase (P153DRAFT_376052), partial mRNA</t>
  </si>
  <si>
    <t>Talaromyces rugulosus strain W13939 chromosome VI</t>
  </si>
  <si>
    <t>Pleurotus ostreatus uncharacterized protein (PC9H_002546), partial mRNA</t>
  </si>
  <si>
    <t>Phialophora attae O-methylsterigmatocystin oxido (AB675_2283), partial mRNA</t>
  </si>
  <si>
    <t>Aspergillus ibericus CBS 121593 cytochrome P450 (BO80DRAFT_466454), partial mRNA</t>
  </si>
  <si>
    <t>Penicillium chrysogenum Wisconsin 54-1255 hypothetical protein (Pc16g00400) mRNA, complete cds</t>
  </si>
  <si>
    <t>Penicillium chrysogenum Wisconsin 54-1255 complete genome, contig Pc00c16</t>
  </si>
  <si>
    <t>Fonsecaea erecta hypothetical protein (AYL99_08279), partial mRNA</t>
  </si>
  <si>
    <t>Fusarium fujikuroi IMI 58289 related to O-methylsterigmatocystin oxidoreductase (FFUJ_11178), partial mRNA</t>
  </si>
  <si>
    <t>Zasmidium cellare ATCC 36951 uncharacterized protein (M409DRAFT_30038), partial mRNA</t>
  </si>
  <si>
    <t>Cyphellophora europaea CBS 101466 hypothetical protein partial mRNA</t>
  </si>
  <si>
    <t>Aspergillus thermomutatus hypothetical protein (CDV56_106633), partial mRNA</t>
  </si>
  <si>
    <t>Phialophora attae Cytochrome 98A9 (AB675_10076), partial mRNA</t>
  </si>
  <si>
    <t>Fusarium tjaetaba oxidoreductase (FTJAE_5469), partial mRNA</t>
  </si>
  <si>
    <t>Aspergillus nidulans FGSC A4 hypothetical protein (AN2727.2), partial mRNA</t>
  </si>
  <si>
    <t>Aspergillus mulundensis putative Cytochrome P450 (DSM5745_08454), partial mRNA</t>
  </si>
  <si>
    <t>Aspergillus alliaceus cytochrome P450 (BDW43DRAFT_318013), partial mRNA</t>
  </si>
  <si>
    <t>Penicillium digitatum strain PdW03 chromosome 5</t>
  </si>
  <si>
    <t>Aspergillus thermomutatus hypothetical protein (CDV56_103787), partial mRNA</t>
  </si>
  <si>
    <t>Bipolaris sorokiniana ND90Pr uncharacterized protein (COCSADRAFT_90707), partial mRNA</t>
  </si>
  <si>
    <t>Aspergillus bombycis hypothetical protein (ABOM_002069), partial mRNA</t>
  </si>
  <si>
    <t>Talaromyces rugulosus uncharacterized protein (TRUGW13939_02649), partial mRNA</t>
  </si>
  <si>
    <t>Aplosporella prunicola CBS 121167 uncharacterized protein (K452DRAFT_359514), mRNA</t>
  </si>
  <si>
    <t>Fonsecaea monophora hypothetical protein (AYO21_07030), partial mRNA</t>
  </si>
  <si>
    <t>Fonsecaea erecta hypothetical protein (AYL99_10226), partial mRNA</t>
  </si>
  <si>
    <t>Fonsecaea nubica hypothetical protein (AYO20_08685), partial mRNA</t>
  </si>
  <si>
    <t>Fonsecaea monophora hypothetical protein (AYO21_08706), partial mRNA</t>
  </si>
  <si>
    <t>Phialocephala scopiformis putative cytochrome P450 mRNA</t>
  </si>
  <si>
    <t>Lasiodiplodia theobromae putative cytochrome P450 (LTHEOB_4328), partial mRNA</t>
  </si>
  <si>
    <t>Fonsecaea monophora hypothetical protein (AYO21_02192), partial mRNA</t>
  </si>
  <si>
    <t>Exophiala xenobiotica hypothetical protein partial mRNA</t>
  </si>
  <si>
    <t>Aspergillus steynii IBT 23096 putative cytochrome P450 (P170DRAFT_457632), mRNA</t>
  </si>
  <si>
    <t>Fonsecaea monophora hypothetical protein (AYO21_12066), partial mRNA</t>
  </si>
  <si>
    <t>Podospora anserina S mat+ uncharacterized protein (PODANS_6_7810), partial mRNA</t>
  </si>
  <si>
    <t>Pleurotus sapidus mRNA for cytochrome P450 3 (CyP450_3 gene)</t>
  </si>
  <si>
    <t>Talaromyces stipitatus ATCC 10500 cytochrome P450, putative, mRNA</t>
  </si>
  <si>
    <t>(Des)Armect1 S11.2</t>
  </si>
  <si>
    <t>PREDICTED: Acropora millepora ubiquitin-conjugating enzyme E2 E1-like (LOC114977141), transcript variant X1, mRNA</t>
  </si>
  <si>
    <t>PREDICTED: Archocentrus centrarchus ubiquitin-conjugating enzyme E2 E1-like (LOC115793803), transcript variant X4, mRNA</t>
  </si>
  <si>
    <t>PREDICTED: Archocentrus centrarchus ubiquitin-conjugating enzyme E2 E1-like (LOC115793803), transcript variant X5, mRNA</t>
  </si>
  <si>
    <t>PREDICTED: Archocentrus centrarchus ubiquitin-conjugating enzyme E2 E1-like (LOC115793803), transcript variant X2, mRNA</t>
  </si>
  <si>
    <t>PREDICTED: Archocentrus centrarchus ubiquitin-conjugating enzyme E2 E1-like (LOC115793803), transcript variant X1, mRNA</t>
  </si>
  <si>
    <t>PREDICTED: Archocentrus centrarchus ubiquitin-conjugating enzyme E2 E1-like (LOC115793803), transcript variant X3, mRNA</t>
  </si>
  <si>
    <t>Xenopus laevis ubiquitin conjugating enzyme E2 E3 S homeolog (ube2e3.S), mRNA</t>
  </si>
  <si>
    <t>Babesia microti strain RI ubiquitin-conjugating enzyme E2 D/E partial mRNA</t>
  </si>
  <si>
    <t>PREDICTED: Ficedula albicollis ubiquitin-conjugating enzyme E2 E2 (LOC101818227), transcript variant X1, mRNA</t>
  </si>
  <si>
    <t>Entamoeba invadens IP1 ubiquitin-conjugating enzyme E2 D1, putative (EIN_084160) mRNA, complete cds</t>
  </si>
  <si>
    <t>Entamoeba nuttalli P19 ubiquitin-conjugating enzyme family protein partial mRNA</t>
  </si>
  <si>
    <t>Entamoeba dispar SAW760 ubiquitin-conjugating enzyme E2 D4, putative EDI_185830 mRNA, complete cds</t>
  </si>
  <si>
    <t>Entamoeba histolytica HM-1:IMSS ubiquitin-conjugating enzyme family protein (EHI_083560), partial mRNA</t>
  </si>
  <si>
    <t>PREDICTED: Rhipicephalus microplus ubiquitin-conjugating enzyme E2 2-like (LOC119179812), mRNA</t>
  </si>
  <si>
    <t>Trichoderma reesei QM6a glycoside hydrolase family 45 (TRIREDRAFT_49976), mRNA</t>
  </si>
  <si>
    <t>Trichoderma reesei strain SJVTR endoglucanase mRNA, partial cds</t>
  </si>
  <si>
    <t>Cantharellus anzutake glycoside hydrolase (EI90DRAFT_2901902), partial mRNA</t>
  </si>
  <si>
    <t>Fonsecaea erecta hypothetical protein (AYL99_07764), partial mRNA</t>
  </si>
  <si>
    <t>Cladophialophora immunda hypothetical protein mRNA</t>
  </si>
  <si>
    <t>Pseudovirgaria hyperparasitica uncharacterized protein (EJ05DRAFT_483767), partial mRNA</t>
  </si>
  <si>
    <t>Fonsecaea monophora hypothetical protein (AYO21_06149), partial mRNA</t>
  </si>
  <si>
    <t>Fonsecaea nubica hypothetical protein (AYO20_08442), partial mRNA</t>
  </si>
  <si>
    <t>Aureobasidium subglaciale EXF-2481 glycoside hydrolase family 45 protein mRNA</t>
  </si>
  <si>
    <t>Baudoinia panamericana UAMH 10762 glycoside hydrolase family 45 protein (BAUCODRAFT_148980), partial mRNA</t>
  </si>
  <si>
    <t>Ustilaginoidea virens strain P1 chromosome 1</t>
  </si>
  <si>
    <t>Brettanomyces nanus uncharacterized protein (FOA43_003741), partial mRNA</t>
  </si>
  <si>
    <t>Aspergillus uvarum CBS 121591 FAD/NAD(P)-binding domain-containing protein (BO82DRAFT_197358), mRNA</t>
  </si>
  <si>
    <t>Colletotrichum fructicola FAD-dependent monooxygenase (CGMCC3_g3841), partial mRNA</t>
  </si>
  <si>
    <t>Colletotrichum siamense FAD-dependent monooxygenase OpS4 (OpS4-2), partial mRNA</t>
  </si>
  <si>
    <t>Colletotrichum orchidophilum FAD binding domain-containing protein (CORC01_04827), partial mRNA</t>
  </si>
  <si>
    <t>Aspergillus heteromorphus CBS 117.55 salicylate hydroxylase (BO70DRAFT_317206), mRNA</t>
  </si>
  <si>
    <t>Colletotrichum graminicola M1.001 FAD binding domain-containing protein partial mRNA</t>
  </si>
  <si>
    <t>Boreostereum vibrans 4-hydroxybenzoate decarboxylase (MO1) mRNA, complete cds</t>
  </si>
  <si>
    <t>Diplodia corticola salicylate hydroxylase (BKCO1_7000175), partial mRNA</t>
  </si>
  <si>
    <t>Fusarium vanettenii 77-13-4 uncharacterized protein (NECHADRAFT_42474), partial mRNA</t>
  </si>
  <si>
    <t>Colletotrichum karsti FAD binding domain-containing protein (CkaCkLH20_05683), partial mRNA</t>
  </si>
  <si>
    <t>Colletotrichum scovillei FAD binding domain-containing protein (HER10_EVM0010706), partial mRNA</t>
  </si>
  <si>
    <t>Glarea lozoyensis ATCC 20868 FAD/NAD(P)-binding protein mRNA</t>
  </si>
  <si>
    <t>Aspergillus aculeatus ATCC 16872 uncharacterized protein (ASPACDRAFT_64608), partial mRNA</t>
  </si>
  <si>
    <t>Aspergillus aculeatinus CBS 121060 FAD binding domain protein (BO66DRAFT_472135), partial mRNA</t>
  </si>
  <si>
    <t>Aspergillus uvarum CBS 121591 FAD binding domain protein (BO82DRAFT_318311), mRNA</t>
  </si>
  <si>
    <t>Cladophialophora yegresii CBS 114405 salicylate hydroxylase partial mRNA</t>
  </si>
  <si>
    <t>cds1246434_1248613 S5.4 (Des)Armect1</t>
  </si>
  <si>
    <t>cds1248917_1250541 S5.4 (Des)Armect1</t>
  </si>
  <si>
    <t>cds1250730_1251800 S5.4 (Des)Armect1</t>
  </si>
  <si>
    <t>cds1252589_1253560 S5.4 (Des)Armect1</t>
  </si>
  <si>
    <t>cds1079951_1080644 S11.2 (Des)Armect1</t>
  </si>
  <si>
    <t>cds1082399_1083207 S11.2 (Des)Armect1</t>
  </si>
  <si>
    <t>cds1083729_1084508 S11.2 (Des)Armect1</t>
  </si>
  <si>
    <t>cds1084750_1086467 S11.2 (Des)Armect1</t>
  </si>
  <si>
    <t>cds1086728_1088185 S11.2 (Des)Armect1</t>
  </si>
  <si>
    <t>cds1088601_1090358 S11.2 (Des)Armect1</t>
  </si>
  <si>
    <t>(Des)Armtab1 S1.4</t>
  </si>
  <si>
    <t>Thielavia terrestris NRRL 8126 chromosome 1, complete sequence</t>
  </si>
  <si>
    <t>Blumeria graminis f. sp. tritici genome assembly, chromosome: Bgt_-07</t>
  </si>
  <si>
    <t>Cordyceps militaris CM01 FK506 suppressor Sfk1 (CCM_03902), partial mRNA</t>
  </si>
  <si>
    <t>Cordyceps militaris strain ATCC 34164 chromosome II, complete sequence</t>
  </si>
  <si>
    <t>Aspergillus caelatus Frag1/DRAM/Sfk1 family-domain-containing protein (BDV27DRAFT_126289), mRNA</t>
  </si>
  <si>
    <t>Aspergillus pseudotamarii Frag1/DRAM/Sfk1 family-domain-containing protein (BDV38DRAFT_266115), mRNA</t>
  </si>
  <si>
    <t>Aureobasidium subglaciale EXF-2481 hypothetical protein mRNA</t>
  </si>
  <si>
    <t>Saprochaete ingens uncharacterized protein (SAPINGB_P003224), partial mRNA</t>
  </si>
  <si>
    <t>(Des)Armtab1 S55.1</t>
  </si>
  <si>
    <t>Armillaria ostoyae strain C18/9 genome assembly, chromosome: LG8</t>
  </si>
  <si>
    <t>Coprinopsis cinerea okayama7#130 hypothetical protein (CC1G_12866), partial mRNA</t>
  </si>
  <si>
    <t>Ganoderma boninense I1R980 gene for N/A</t>
  </si>
  <si>
    <t>Coprinopsis cinerea okayama7#130 hypothetical protein (CC1G_15228), partial mRNA</t>
  </si>
  <si>
    <t>Sparassis crispa hypothetical protein (SCP_1203730), partial mRNA</t>
  </si>
  <si>
    <t>Coprinopsis cinerea okayama7#130 hypothetical protein (CC1G_15218), partial mRNA</t>
  </si>
  <si>
    <t>Phanerochaete carnosa HHB-10118-sp uncharacterized protein (PHACADRAFT_202903), partial mRNA</t>
  </si>
  <si>
    <t>Phanerochaete carnosa HHB-10118-sp uncharacterized protein (PHACADRAFT_109576), partial mRNA</t>
  </si>
  <si>
    <t>Serpula lacrymans var. lacrymans S7.9 hypothetical protein (SERLADRAFT_439398), partial mRNA</t>
  </si>
  <si>
    <t>Phanerochaete carnosa HHB-10118-sp uncharacterized protein (PHACADRAFT_91812), partial mRNA</t>
  </si>
  <si>
    <t>Stereum hirsutum FP-91666 SS1 hypothetical protein (STEHIDRAFT_152697), partial mRNA</t>
  </si>
  <si>
    <t>Serpula lacrymans var. lacrymans S7.9 hypothetical protein (SERLADRAFT_435102), partial mRNA</t>
  </si>
  <si>
    <t>Ganoderma boninense Q696X2 gene for Lactoylglutathione lyase (EC 4.4.1.5) (Glyoxalase I)</t>
  </si>
  <si>
    <t>Dichomitus squalens LYAD-421 SS1 uncharacterized protein (DICSQDRAFT_106992), partial mRNA</t>
  </si>
  <si>
    <t>Phanerochaete carnosa HHB-10118-sp uncharacterized protein (PHACADRAFT_261937), partial mRNA</t>
  </si>
  <si>
    <t>Ganoderma boninense Q7VM28 gene for GTP pyrophosphokinase</t>
  </si>
  <si>
    <t>Cantharellus anzutake uncharacterized protein (EI90DRAFT_3066603), partial mRNA</t>
  </si>
  <si>
    <t>Coprinopsis cinerea okayama7#130 hypothetical protein (CC1G_09999), partial mRNA</t>
  </si>
  <si>
    <t>Phanerochaete carnosa HHB-10118-sp uncharacterized protein (PHACADRAFT_214772), mRNA</t>
  </si>
  <si>
    <t>Dichomitus squalens LYAD-421 SS1 uncharacterized protein (DICSQDRAFT_113505), partial mRNA</t>
  </si>
  <si>
    <t>Ganoderma boninense Q6IZ78 gene for Membrane zinc transporter</t>
  </si>
  <si>
    <t>Serpula lacrymans var. lacrymans S7.9 hypothetical protein (SERLADRAFT_406075), partial mRNA</t>
  </si>
  <si>
    <t>Pleurotus ostreatus uncharacterized protein (PC9H_011298), partial mRNA</t>
  </si>
  <si>
    <t>Sparassis crispa hypothetical protein (SCP_1103030), partial mRNA</t>
  </si>
  <si>
    <t>Phanerochaete carnosa HHB-10118-sp uncharacterized protein (PHACADRAFT_119804), mRNA</t>
  </si>
  <si>
    <t>Phanerochaete carnosa HHB-10118-sp uncharacterized protein (PHACADRAFT_94763), partial mRNA</t>
  </si>
  <si>
    <t>Ganoderma boninense I1REJ1 gene for N/A</t>
  </si>
  <si>
    <t>Phanerochaete carnosa HHB-10118-sp uncharacterized protein (PHACADRAFT_125491), mRNA</t>
  </si>
  <si>
    <t>Cantharellus anzutake uncharacterized protein (EI90DRAFT_3055831), mRNA</t>
  </si>
  <si>
    <t>Agaricus bisporus var. burnettii JB137-S8 hypothetical protein (AGABI1DRAFT_54168), partial mRNA</t>
  </si>
  <si>
    <t>Agaricus bisporus var. bisporus H97 hypothetical protein (AGABI2DRAFT_78812), partial mRNA</t>
  </si>
  <si>
    <t>Coprinopsis cinerea okayama7#130 hypothetical protein (CC1G_13484), partial mRNA</t>
  </si>
  <si>
    <t>Serpula lacrymans var. lacrymans S7.9 hypothetical protein (SERLADRAFT_410719), partial mRNA</t>
  </si>
  <si>
    <t>Mycena indigotica uncharacterized protein (MIND_00872100), partial mRNA</t>
  </si>
  <si>
    <t>Agaricus bisporus var. bisporus H97 hypothetical protein (AGABI2DRAFT_191014), mRNA</t>
  </si>
  <si>
    <t>Agaricus bisporus var. burnettii JB137-S8 hypothetical protein (AGABI1DRAFT_114794), mRNA</t>
  </si>
  <si>
    <t>Sparassis crispa hypothetical protein (SCP_0606210), partial mRNA</t>
  </si>
  <si>
    <t>Agaricus bisporus var. bisporus H97 hypothetical protein (AGABI2DRAFT_80174), partial mRNA</t>
  </si>
  <si>
    <t>Schizophyllum commune H4-8 uncharacterized protein (SCHCODRAFT_112832), partial mRNA</t>
  </si>
  <si>
    <t>Agaricus bisporus var. burnettii JB137-S8 hypothetical protein (AGABI1DRAFT_86136), mRNA</t>
  </si>
  <si>
    <t>Sparassis crispa hypothetical protein (SCP_1202060), partial mRNA</t>
  </si>
  <si>
    <t>Sparassis crispa hypothetical protein (SCP_1202040), partial mRNA</t>
  </si>
  <si>
    <t>Agaricus bisporus var. bisporus H97 hypothetical protein (AGABI2DRAFT_115848), partial mRNA</t>
  </si>
  <si>
    <t>Mycena indigotica Expansin-like EG45 domain-containing protein (MIND_00066400), partial mRNA</t>
  </si>
  <si>
    <t>Chrysoporthe sp. MAF-2017a isolate CMW54409 chromosome 6</t>
  </si>
  <si>
    <t>Pleurotus ostreatus uncharacterized protein (PC9H_007432), partial mRNA</t>
  </si>
  <si>
    <t>cds2351102_2352183 S1.4 (Des)Armtab1</t>
  </si>
  <si>
    <t>cds2352360_2353987 S1.4 (Des)Armtab1</t>
  </si>
  <si>
    <t>cds2354280_2356036 S1.4 (Des)Armtab1</t>
  </si>
  <si>
    <t>cds90367_91652 S55.1 (Des)Armtab1</t>
  </si>
  <si>
    <t>cds92116_93693 S55.1 (Des)Armtab1</t>
  </si>
  <si>
    <t>cds94035_95755 S55.1 (Des)Armtab1</t>
  </si>
  <si>
    <t>cds96001_96785 S55.1 (Des)Armtab1</t>
  </si>
  <si>
    <t>cds97321_98137 S55.1 (Des)Armtab1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</si>
</sst>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9" fontId="0" fillId="0" borderId="0" xfId="0" applyNumberFormat="1"/>
    <xf numFmtId="11" fontId="0" fillId="0" borderId="0" xfId="0" applyNumberFormat="1"/>
    <xf numFmtId="0" fontId="0" fillId="2" borderId="0" xfId="0" applyFill="1"/>
    <xf numFmtId="9" fontId="0" fillId="2" borderId="0" xfId="0" applyNumberFormat="1" applyFill="1"/>
    <xf numFmtId="11" fontId="0" fillId="2" borderId="0" xfId="0" applyNumberFormat="1" applyFill="1"/>
    <xf numFmtId="9" fontId="1" fillId="0" borderId="0" xfId="0" applyNumberFormat="1" applyFont="1"/>
    <xf numFmtId="11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3AF16-171A-4370-BBC5-89DEAE68F4AC}">
  <dimension ref="A1:G879"/>
  <sheetViews>
    <sheetView tabSelected="1" topLeftCell="A88" workbookViewId="0">
      <selection activeCell="A31" sqref="A31"/>
    </sheetView>
  </sheetViews>
  <sheetFormatPr defaultRowHeight="14.5" x14ac:dyDescent="0.35"/>
  <cols>
    <col min="1" max="1" width="88.26953125" bestFit="1" customWidth="1"/>
    <col min="2" max="2" width="9.54296875" bestFit="1" customWidth="1"/>
    <col min="3" max="3" width="10.08984375" bestFit="1" customWidth="1"/>
    <col min="4" max="4" width="11.1796875" bestFit="1" customWidth="1"/>
    <col min="5" max="6" width="9" bestFit="1" customWidth="1"/>
    <col min="7" max="7" width="15.1796875" bestFit="1" customWidth="1"/>
  </cols>
  <sheetData>
    <row r="1" spans="1:7" s="1" customFormat="1" x14ac:dyDescent="0.35">
      <c r="A1" s="1" t="s">
        <v>0</v>
      </c>
    </row>
    <row r="2" spans="1:7" s="1" customFormat="1" x14ac:dyDescent="0.35">
      <c r="A2" s="1" t="s">
        <v>1</v>
      </c>
    </row>
    <row r="3" spans="1:7" x14ac:dyDescent="0.3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 x14ac:dyDescent="0.35">
      <c r="A4" t="s">
        <v>9</v>
      </c>
      <c r="B4">
        <v>342</v>
      </c>
      <c r="C4">
        <v>1276</v>
      </c>
      <c r="D4" s="2">
        <v>1</v>
      </c>
      <c r="E4">
        <v>0</v>
      </c>
      <c r="F4">
        <v>89.69</v>
      </c>
      <c r="G4" t="str">
        <f>HYPERLINK("https://www.ncbi.nlm.nih.gov/nucleotide/LR732079.1?report=genbank&amp;log$=nucltop&amp;blast_rank=1&amp;RID=UJJ2VTA1016","LR732079.1")</f>
        <v>LR732079.1</v>
      </c>
    </row>
    <row r="5" spans="1:7" x14ac:dyDescent="0.35">
      <c r="A5" t="s">
        <v>10</v>
      </c>
      <c r="B5">
        <v>186</v>
      </c>
      <c r="C5">
        <v>186</v>
      </c>
      <c r="D5" s="2">
        <v>0.18</v>
      </c>
      <c r="E5" s="3">
        <v>3E-52</v>
      </c>
      <c r="F5">
        <v>71.680000000000007</v>
      </c>
      <c r="G5" t="str">
        <f>HYPERLINK("https://www.ncbi.nlm.nih.gov/nucleotide/AB551954.1?report=genbank&amp;log$=nucltop&amp;blast_rank=2&amp;RID=UJJ2VTA1016","AB551954.1")</f>
        <v>AB551954.1</v>
      </c>
    </row>
    <row r="6" spans="1:7" x14ac:dyDescent="0.35">
      <c r="A6" t="s">
        <v>11</v>
      </c>
      <c r="B6">
        <v>747</v>
      </c>
      <c r="C6">
        <v>747</v>
      </c>
      <c r="D6" s="2">
        <v>0.97</v>
      </c>
      <c r="E6">
        <v>0</v>
      </c>
      <c r="F6">
        <v>60.07</v>
      </c>
      <c r="G6" t="str">
        <f>HYPERLINK("https://www.ncbi.nlm.nih.gov/nucleotide/AB551982.1?report=genbank&amp;log$=nucltop&amp;blast_rank=3&amp;RID=UJJ2VTA1016","AB551982.1")</f>
        <v>AB551982.1</v>
      </c>
    </row>
    <row r="7" spans="1:7" x14ac:dyDescent="0.35">
      <c r="A7" t="s">
        <v>12</v>
      </c>
      <c r="B7">
        <v>692</v>
      </c>
      <c r="C7">
        <v>692</v>
      </c>
      <c r="D7" s="2">
        <v>0.91</v>
      </c>
      <c r="E7">
        <v>0</v>
      </c>
      <c r="F7">
        <v>59.2</v>
      </c>
      <c r="G7" t="str">
        <f>HYPERLINK("https://www.ncbi.nlm.nih.gov/nucleotide/XM_036779060.1?report=genbank&amp;log$=nucltop&amp;blast_rank=4&amp;RID=UJJ2VTA1016","XM_036779060.1")</f>
        <v>XM_036779060.1</v>
      </c>
    </row>
    <row r="8" spans="1:7" x14ac:dyDescent="0.35">
      <c r="A8" s="4" t="s">
        <v>13</v>
      </c>
      <c r="B8" s="4">
        <v>695</v>
      </c>
      <c r="C8" s="4">
        <v>695</v>
      </c>
      <c r="D8" s="5">
        <v>0.95</v>
      </c>
      <c r="E8" s="4">
        <v>0</v>
      </c>
      <c r="F8" s="4">
        <v>58.09</v>
      </c>
      <c r="G8" s="4" t="str">
        <f>HYPERLINK("https://www.ncbi.nlm.nih.gov/nucleotide/XM_036706626.1?report=genbank&amp;log$=nucltop&amp;blast_rank=5&amp;RID=UJJ2VTA1016","XM_036706626.1")</f>
        <v>XM_036706626.1</v>
      </c>
    </row>
    <row r="9" spans="1:7" x14ac:dyDescent="0.35">
      <c r="A9" t="s">
        <v>14</v>
      </c>
      <c r="B9">
        <v>704</v>
      </c>
      <c r="C9">
        <v>704</v>
      </c>
      <c r="D9" s="2">
        <v>0.98</v>
      </c>
      <c r="E9">
        <v>0</v>
      </c>
      <c r="F9">
        <v>56.68</v>
      </c>
      <c r="G9" t="str">
        <f>HYPERLINK("https://www.ncbi.nlm.nih.gov/nucleotide/XM_007330301.1?report=genbank&amp;log$=nucltop&amp;blast_rank=6&amp;RID=UJJ2VTA1016","XM_007330301.1")</f>
        <v>XM_007330301.1</v>
      </c>
    </row>
    <row r="10" spans="1:7" x14ac:dyDescent="0.35">
      <c r="A10" t="s">
        <v>15</v>
      </c>
      <c r="B10">
        <v>701</v>
      </c>
      <c r="C10">
        <v>701</v>
      </c>
      <c r="D10" s="2">
        <v>0.98</v>
      </c>
      <c r="E10">
        <v>0</v>
      </c>
      <c r="F10">
        <v>56.68</v>
      </c>
      <c r="G10" t="str">
        <f>HYPERLINK("https://www.ncbi.nlm.nih.gov/nucleotide/XM_006459161.1?report=genbank&amp;log$=nucltop&amp;blast_rank=7&amp;RID=UJJ2VTA1016","XM_006459161.1")</f>
        <v>XM_006459161.1</v>
      </c>
    </row>
    <row r="11" spans="1:7" x14ac:dyDescent="0.35">
      <c r="A11" t="s">
        <v>16</v>
      </c>
      <c r="B11">
        <v>396</v>
      </c>
      <c r="C11">
        <v>1168</v>
      </c>
      <c r="D11" s="2">
        <v>0.98</v>
      </c>
      <c r="E11" s="3">
        <v>9.9999999999999995E-179</v>
      </c>
      <c r="F11">
        <v>56.36</v>
      </c>
      <c r="G11" t="str">
        <f>HYPERLINK("https://www.ncbi.nlm.nih.gov/nucleotide/CP039877.1?report=genbank&amp;log$=nucltop&amp;blast_rank=8&amp;RID=UJJ2VTA1016","CP039877.1")</f>
        <v>CP039877.1</v>
      </c>
    </row>
    <row r="12" spans="1:7" x14ac:dyDescent="0.35">
      <c r="A12" t="s">
        <v>17</v>
      </c>
      <c r="B12">
        <v>396</v>
      </c>
      <c r="C12">
        <v>1168</v>
      </c>
      <c r="D12" s="2">
        <v>0.98</v>
      </c>
      <c r="E12" s="3">
        <v>9.9999999999999995E-179</v>
      </c>
      <c r="F12">
        <v>56.36</v>
      </c>
      <c r="G12" t="str">
        <f>HYPERLINK("https://www.ncbi.nlm.nih.gov/nucleotide/CP015461.1?report=genbank&amp;log$=nucltop&amp;blast_rank=9&amp;RID=UJJ2VTA1016","CP015461.1")</f>
        <v>CP015461.1</v>
      </c>
    </row>
    <row r="13" spans="1:7" x14ac:dyDescent="0.35">
      <c r="A13" t="s">
        <v>18</v>
      </c>
      <c r="B13">
        <v>396</v>
      </c>
      <c r="C13">
        <v>1168</v>
      </c>
      <c r="D13" s="2">
        <v>0.98</v>
      </c>
      <c r="E13" s="3">
        <v>9.9999999999999995E-179</v>
      </c>
      <c r="F13">
        <v>56.36</v>
      </c>
      <c r="G13" t="str">
        <f>HYPERLINK("https://www.ncbi.nlm.nih.gov/nucleotide/CP015474.1?report=genbank&amp;log$=nucltop&amp;blast_rank=10&amp;RID=UJJ2VTA1016","CP015474.1")</f>
        <v>CP015474.1</v>
      </c>
    </row>
    <row r="14" spans="1:7" x14ac:dyDescent="0.35">
      <c r="A14" t="s">
        <v>19</v>
      </c>
      <c r="B14">
        <v>654</v>
      </c>
      <c r="C14">
        <v>654</v>
      </c>
      <c r="D14" s="2">
        <v>0.95</v>
      </c>
      <c r="E14">
        <v>0</v>
      </c>
      <c r="F14">
        <v>53.61</v>
      </c>
      <c r="G14" t="str">
        <f>HYPERLINK("https://www.ncbi.nlm.nih.gov/nucleotide/XM_001880889.1?report=genbank&amp;log$=nucltop&amp;blast_rank=11&amp;RID=UJJ2VTA1016","XM_001880889.1")</f>
        <v>XM_001880889.1</v>
      </c>
    </row>
    <row r="15" spans="1:7" x14ac:dyDescent="0.35">
      <c r="A15" s="4" t="s">
        <v>20</v>
      </c>
      <c r="B15" s="4">
        <v>177</v>
      </c>
      <c r="C15" s="4">
        <v>422</v>
      </c>
      <c r="D15" s="5">
        <v>0.96</v>
      </c>
      <c r="E15" s="6">
        <v>9.9999999999999996E-95</v>
      </c>
      <c r="F15" s="4">
        <v>52.56</v>
      </c>
      <c r="G15" s="4" t="str">
        <f>HYPERLINK("https://www.ncbi.nlm.nih.gov/nucleotide/KJ999702.1?report=genbank&amp;log$=nucltop&amp;blast_rank=12&amp;RID=UJJ2VTA1016","KJ999702.1")</f>
        <v>KJ999702.1</v>
      </c>
    </row>
    <row r="16" spans="1:7" x14ac:dyDescent="0.35">
      <c r="A16" t="s">
        <v>21</v>
      </c>
      <c r="B16">
        <v>630</v>
      </c>
      <c r="C16">
        <v>630</v>
      </c>
      <c r="D16" s="2">
        <v>0.96</v>
      </c>
      <c r="E16">
        <v>0</v>
      </c>
      <c r="F16">
        <v>51.13</v>
      </c>
      <c r="G16" t="str">
        <f>HYPERLINK("https://www.ncbi.nlm.nih.gov/nucleotide/XM_009546986.1?report=genbank&amp;log$=nucltop&amp;blast_rank=13&amp;RID=UJJ2VTA1016","XM_009546986.1")</f>
        <v>XM_009546986.1</v>
      </c>
    </row>
    <row r="17" spans="1:7" x14ac:dyDescent="0.35">
      <c r="A17" t="s">
        <v>22</v>
      </c>
      <c r="B17">
        <v>493</v>
      </c>
      <c r="C17">
        <v>493</v>
      </c>
      <c r="D17" s="2">
        <v>0.88</v>
      </c>
      <c r="E17" s="3">
        <v>1E-165</v>
      </c>
      <c r="F17">
        <v>49.11</v>
      </c>
      <c r="G17" t="str">
        <f>HYPERLINK("https://www.ncbi.nlm.nih.gov/nucleotide/XM_001836369.2?report=genbank&amp;log$=nucltop&amp;blast_rank=14&amp;RID=UJJ2VTA1016","XM_001836369.2")</f>
        <v>XM_001836369.2</v>
      </c>
    </row>
    <row r="18" spans="1:7" x14ac:dyDescent="0.35">
      <c r="A18" t="s">
        <v>23</v>
      </c>
      <c r="B18">
        <v>502</v>
      </c>
      <c r="C18">
        <v>502</v>
      </c>
      <c r="D18" s="2">
        <v>0.96</v>
      </c>
      <c r="E18" s="3">
        <v>2.9999999999999998E-165</v>
      </c>
      <c r="F18">
        <v>45.19</v>
      </c>
      <c r="G18" t="str">
        <f>HYPERLINK("https://www.ncbi.nlm.nih.gov/nucleotide/XM_007300021.1?report=genbank&amp;log$=nucltop&amp;blast_rank=15&amp;RID=UJJ2VTA1016","XM_007300021.1")</f>
        <v>XM_007300021.1</v>
      </c>
    </row>
    <row r="19" spans="1:7" x14ac:dyDescent="0.35">
      <c r="A19" t="s">
        <v>24</v>
      </c>
      <c r="B19">
        <v>527</v>
      </c>
      <c r="C19">
        <v>527</v>
      </c>
      <c r="D19" s="2">
        <v>0.95</v>
      </c>
      <c r="E19" s="3">
        <v>3.0000000000000001E-177</v>
      </c>
      <c r="F19">
        <v>44.84</v>
      </c>
      <c r="G19" t="str">
        <f>HYPERLINK("https://www.ncbi.nlm.nih.gov/nucleotide/XM_036706627.1?report=genbank&amp;log$=nucltop&amp;blast_rank=16&amp;RID=UJJ2VTA1016","XM_036706627.1")</f>
        <v>XM_036706627.1</v>
      </c>
    </row>
    <row r="20" spans="1:7" x14ac:dyDescent="0.35">
      <c r="A20" t="s">
        <v>25</v>
      </c>
      <c r="B20">
        <v>523</v>
      </c>
      <c r="C20">
        <v>523</v>
      </c>
      <c r="D20" s="2">
        <v>0.96</v>
      </c>
      <c r="E20" s="3">
        <v>2E-175</v>
      </c>
      <c r="F20">
        <v>44.23</v>
      </c>
      <c r="G20" t="str">
        <f>HYPERLINK("https://www.ncbi.nlm.nih.gov/nucleotide/XM_007330400.1?report=genbank&amp;log$=nucltop&amp;blast_rank=17&amp;RID=UJJ2VTA1016","XM_007330400.1")</f>
        <v>XM_007330400.1</v>
      </c>
    </row>
    <row r="21" spans="1:7" x14ac:dyDescent="0.35">
      <c r="A21" t="s">
        <v>26</v>
      </c>
      <c r="B21">
        <v>521</v>
      </c>
      <c r="C21">
        <v>521</v>
      </c>
      <c r="D21" s="2">
        <v>0.96</v>
      </c>
      <c r="E21" s="3">
        <v>7E-175</v>
      </c>
      <c r="F21">
        <v>44.07</v>
      </c>
      <c r="G21" t="str">
        <f>HYPERLINK("https://www.ncbi.nlm.nih.gov/nucleotide/XM_006459162.1?report=genbank&amp;log$=nucltop&amp;blast_rank=18&amp;RID=UJJ2VTA1016","XM_006459162.1")</f>
        <v>XM_006459162.1</v>
      </c>
    </row>
    <row r="22" spans="1:7" x14ac:dyDescent="0.35">
      <c r="A22" t="s">
        <v>27</v>
      </c>
      <c r="B22">
        <v>175</v>
      </c>
      <c r="C22">
        <v>400</v>
      </c>
      <c r="D22" s="2">
        <v>0.96</v>
      </c>
      <c r="E22" s="3">
        <v>1.9999999999999999E-94</v>
      </c>
      <c r="F22">
        <v>43.92</v>
      </c>
      <c r="G22" t="str">
        <f>HYPERLINK("https://www.ncbi.nlm.nih.gov/nucleotide/CP031830.1?report=genbank&amp;log$=nucltop&amp;blast_rank=19&amp;RID=UJJ2VTA1016","CP031830.1")</f>
        <v>CP031830.1</v>
      </c>
    </row>
    <row r="23" spans="1:7" x14ac:dyDescent="0.35">
      <c r="A23" t="s">
        <v>28</v>
      </c>
      <c r="B23">
        <v>175</v>
      </c>
      <c r="C23">
        <v>400</v>
      </c>
      <c r="D23" s="2">
        <v>0.96</v>
      </c>
      <c r="E23" s="3">
        <v>1.9999999999999999E-94</v>
      </c>
      <c r="F23">
        <v>43.92</v>
      </c>
      <c r="G23" t="str">
        <f>HYPERLINK("https://www.ncbi.nlm.nih.gov/nucleotide/LK023335.1?report=genbank&amp;log$=nucltop&amp;blast_rank=20&amp;RID=UJJ2VTA1016","LK023335.1")</f>
        <v>LK023335.1</v>
      </c>
    </row>
    <row r="24" spans="1:7" x14ac:dyDescent="0.35">
      <c r="A24" t="s">
        <v>29</v>
      </c>
      <c r="B24">
        <v>513</v>
      </c>
      <c r="C24">
        <v>513</v>
      </c>
      <c r="D24" s="2">
        <v>0.97</v>
      </c>
      <c r="E24" s="3">
        <v>9.9999999999999998E-172</v>
      </c>
      <c r="F24">
        <v>43.71</v>
      </c>
      <c r="G24" t="str">
        <f>HYPERLINK("https://www.ncbi.nlm.nih.gov/nucleotide/XM_036779059.1?report=genbank&amp;log$=nucltop&amp;blast_rank=21&amp;RID=UJJ2VTA1016","XM_036779059.1")</f>
        <v>XM_036779059.1</v>
      </c>
    </row>
    <row r="25" spans="1:7" x14ac:dyDescent="0.35">
      <c r="A25" t="s">
        <v>30</v>
      </c>
      <c r="B25">
        <v>187</v>
      </c>
      <c r="C25">
        <v>337</v>
      </c>
      <c r="D25" s="2">
        <v>0.64</v>
      </c>
      <c r="E25" s="3">
        <v>4.9999999999999998E-82</v>
      </c>
      <c r="F25">
        <v>43.65</v>
      </c>
      <c r="G25" t="str">
        <f>HYPERLINK("https://www.ncbi.nlm.nih.gov/nucleotide/CP031825.1?report=genbank&amp;log$=nucltop&amp;blast_rank=22&amp;RID=UJJ2VTA1016","CP031825.1")</f>
        <v>CP031825.1</v>
      </c>
    </row>
    <row r="26" spans="1:7" x14ac:dyDescent="0.35">
      <c r="A26" t="s">
        <v>31</v>
      </c>
      <c r="B26">
        <v>187</v>
      </c>
      <c r="C26">
        <v>337</v>
      </c>
      <c r="D26" s="2">
        <v>0.64</v>
      </c>
      <c r="E26" s="3">
        <v>4.9999999999999998E-82</v>
      </c>
      <c r="F26">
        <v>43.65</v>
      </c>
      <c r="G26" t="str">
        <f>HYPERLINK("https://www.ncbi.nlm.nih.gov/nucleotide/LK023313.1?report=genbank&amp;log$=nucltop&amp;blast_rank=23&amp;RID=UJJ2VTA1016","LK023313.1")</f>
        <v>LK023313.1</v>
      </c>
    </row>
    <row r="27" spans="1:7" x14ac:dyDescent="0.35">
      <c r="A27" t="s">
        <v>21</v>
      </c>
      <c r="B27">
        <v>494</v>
      </c>
      <c r="C27">
        <v>494</v>
      </c>
      <c r="D27" s="2">
        <v>0.97</v>
      </c>
      <c r="E27" s="3">
        <v>1.9999999999999998E-163</v>
      </c>
      <c r="F27">
        <v>41.55</v>
      </c>
      <c r="G27" t="str">
        <f>HYPERLINK("https://www.ncbi.nlm.nih.gov/nucleotide/XM_009546985.1?report=genbank&amp;log$=nucltop&amp;blast_rank=24&amp;RID=UJJ2VTA1016","XM_009546985.1")</f>
        <v>XM_009546985.1</v>
      </c>
    </row>
    <row r="28" spans="1:7" x14ac:dyDescent="0.35">
      <c r="A28" t="s">
        <v>32</v>
      </c>
      <c r="B28">
        <v>470</v>
      </c>
      <c r="C28">
        <v>470</v>
      </c>
      <c r="D28" s="2">
        <v>0.96</v>
      </c>
      <c r="E28" s="3">
        <v>4.0000000000000003E-152</v>
      </c>
      <c r="F28">
        <v>41.52</v>
      </c>
      <c r="G28" t="str">
        <f>HYPERLINK("https://www.ncbi.nlm.nih.gov/nucleotide/XM_018429091.1?report=genbank&amp;log$=nucltop&amp;blast_rank=25&amp;RID=UJJ2VTA1016","XM_018429091.1")</f>
        <v>XM_018429091.1</v>
      </c>
    </row>
    <row r="29" spans="1:7" x14ac:dyDescent="0.35">
      <c r="A29" t="s">
        <v>33</v>
      </c>
      <c r="B29">
        <v>468</v>
      </c>
      <c r="C29">
        <v>468</v>
      </c>
      <c r="D29" s="2">
        <v>0.96</v>
      </c>
      <c r="E29" s="3">
        <v>1E-153</v>
      </c>
      <c r="F29">
        <v>40.18</v>
      </c>
      <c r="G29" t="str">
        <f>HYPERLINK("https://www.ncbi.nlm.nih.gov/nucleotide/XM_007300020.1?report=genbank&amp;log$=nucltop&amp;blast_rank=26&amp;RID=UJJ2VTA1016","XM_007300020.1")</f>
        <v>XM_007300020.1</v>
      </c>
    </row>
    <row r="30" spans="1:7" x14ac:dyDescent="0.35">
      <c r="A30" t="s">
        <v>34</v>
      </c>
      <c r="B30">
        <v>461</v>
      </c>
      <c r="C30">
        <v>461</v>
      </c>
      <c r="D30" s="2">
        <v>0.96</v>
      </c>
      <c r="E30" s="3">
        <v>3.0000000000000002E-151</v>
      </c>
      <c r="F30">
        <v>39.97</v>
      </c>
      <c r="G30" t="str">
        <f>HYPERLINK("https://www.ncbi.nlm.nih.gov/nucleotide/XM_001836368.2?report=genbank&amp;log$=nucltop&amp;blast_rank=27&amp;RID=UJJ2VTA1016","XM_001836368.2")</f>
        <v>XM_001836368.2</v>
      </c>
    </row>
    <row r="31" spans="1:7" x14ac:dyDescent="0.35">
      <c r="A31" t="s">
        <v>19</v>
      </c>
      <c r="B31">
        <v>479</v>
      </c>
      <c r="C31">
        <v>479</v>
      </c>
      <c r="D31" s="2">
        <v>0.96</v>
      </c>
      <c r="E31" s="3">
        <v>8.9999999999999998E-159</v>
      </c>
      <c r="F31">
        <v>39.799999999999997</v>
      </c>
      <c r="G31" t="str">
        <f>HYPERLINK("https://www.ncbi.nlm.nih.gov/nucleotide/XM_001880890.1?report=genbank&amp;log$=nucltop&amp;blast_rank=28&amp;RID=UJJ2VTA1016","XM_001880890.1")</f>
        <v>XM_001880890.1</v>
      </c>
    </row>
    <row r="32" spans="1:7" x14ac:dyDescent="0.35">
      <c r="A32" t="s">
        <v>35</v>
      </c>
      <c r="B32">
        <v>441</v>
      </c>
      <c r="C32">
        <v>441</v>
      </c>
      <c r="D32" s="2">
        <v>0.96</v>
      </c>
      <c r="E32" s="3">
        <v>6.9999999999999997E-144</v>
      </c>
      <c r="F32">
        <v>39.19</v>
      </c>
      <c r="G32" t="str">
        <f>HYPERLINK("https://www.ncbi.nlm.nih.gov/nucleotide/XM_023610462.1?report=genbank&amp;log$=nucltop&amp;blast_rank=29&amp;RID=UJJ2VTA1016","XM_023610462.1")</f>
        <v>XM_023610462.1</v>
      </c>
    </row>
    <row r="33" spans="1:7" x14ac:dyDescent="0.35">
      <c r="A33" t="s">
        <v>36</v>
      </c>
      <c r="B33">
        <v>108</v>
      </c>
      <c r="C33">
        <v>188</v>
      </c>
      <c r="D33" s="2">
        <v>0.66</v>
      </c>
      <c r="E33" s="3">
        <v>2.0000000000000001E-37</v>
      </c>
      <c r="F33">
        <v>37.28</v>
      </c>
      <c r="G33" t="str">
        <f>HYPERLINK("https://www.ncbi.nlm.nih.gov/nucleotide/AM270105.1?report=genbank&amp;log$=nucltop&amp;blast_rank=30&amp;RID=UJJ2VTA1016","AM270105.1")</f>
        <v>AM270105.1</v>
      </c>
    </row>
    <row r="34" spans="1:7" x14ac:dyDescent="0.35">
      <c r="A34" t="s">
        <v>37</v>
      </c>
      <c r="B34">
        <v>311</v>
      </c>
      <c r="C34">
        <v>311</v>
      </c>
      <c r="D34" s="2">
        <v>0.92</v>
      </c>
      <c r="E34" s="3">
        <v>8.9999999999999998E-88</v>
      </c>
      <c r="F34">
        <v>36.58</v>
      </c>
      <c r="G34" t="str">
        <f>HYPERLINK("https://www.ncbi.nlm.nih.gov/nucleotide/LR732085.1?report=genbank&amp;log$=nucltop&amp;blast_rank=31&amp;RID=UJJ2VTA1016","LR732085.1")</f>
        <v>LR732085.1</v>
      </c>
    </row>
    <row r="35" spans="1:7" x14ac:dyDescent="0.35">
      <c r="A35" t="s">
        <v>38</v>
      </c>
      <c r="B35">
        <v>170</v>
      </c>
      <c r="C35">
        <v>170</v>
      </c>
      <c r="D35" s="2">
        <v>0.48</v>
      </c>
      <c r="E35" s="3">
        <v>5.0000000000000002E-43</v>
      </c>
      <c r="F35">
        <v>35.67</v>
      </c>
      <c r="G35" t="str">
        <f>HYPERLINK("https://www.ncbi.nlm.nih.gov/nucleotide/XM_001221435.1?report=genbank&amp;log$=nucltop&amp;blast_rank=32&amp;RID=UJJ2VTA1016","XM_001221435.1")</f>
        <v>XM_001221435.1</v>
      </c>
    </row>
    <row r="36" spans="1:7" x14ac:dyDescent="0.35">
      <c r="A36" t="s">
        <v>39</v>
      </c>
      <c r="B36">
        <v>359</v>
      </c>
      <c r="C36">
        <v>359</v>
      </c>
      <c r="D36" s="2">
        <v>0.96</v>
      </c>
      <c r="E36" s="3">
        <v>1.0000000000000001E-111</v>
      </c>
      <c r="F36">
        <v>34.92</v>
      </c>
      <c r="G36" t="str">
        <f>HYPERLINK("https://www.ncbi.nlm.nih.gov/nucleotide/XM_025316703.1?report=genbank&amp;log$=nucltop&amp;blast_rank=33&amp;RID=UJJ2VTA1016","XM_025316703.1")</f>
        <v>XM_025316703.1</v>
      </c>
    </row>
    <row r="37" spans="1:7" x14ac:dyDescent="0.35">
      <c r="A37" t="s">
        <v>40</v>
      </c>
      <c r="B37">
        <v>197</v>
      </c>
      <c r="C37">
        <v>197</v>
      </c>
      <c r="D37" s="2">
        <v>0.66</v>
      </c>
      <c r="E37" s="3">
        <v>2E-51</v>
      </c>
      <c r="F37">
        <v>34.31</v>
      </c>
      <c r="G37" t="str">
        <f>HYPERLINK("https://www.ncbi.nlm.nih.gov/nucleotide/XM_022531473.1?report=genbank&amp;log$=nucltop&amp;blast_rank=34&amp;RID=UJJ2VTA1016","XM_022531473.1")</f>
        <v>XM_022531473.1</v>
      </c>
    </row>
    <row r="38" spans="1:7" x14ac:dyDescent="0.35">
      <c r="A38" s="4" t="s">
        <v>41</v>
      </c>
      <c r="B38" s="4">
        <v>185</v>
      </c>
      <c r="C38" s="4">
        <v>185</v>
      </c>
      <c r="D38" s="5">
        <v>0.66</v>
      </c>
      <c r="E38" s="6">
        <v>5.0000000000000001E-47</v>
      </c>
      <c r="F38" s="4">
        <v>33.57</v>
      </c>
      <c r="G38" s="4" t="str">
        <f>HYPERLINK("https://www.ncbi.nlm.nih.gov/nucleotide/XM_032045412.1?report=genbank&amp;log$=nucltop&amp;blast_rank=35&amp;RID=UJJ2VTA1016","XM_032045412.1")</f>
        <v>XM_032045412.1</v>
      </c>
    </row>
    <row r="39" spans="1:7" x14ac:dyDescent="0.35">
      <c r="A39" t="s">
        <v>42</v>
      </c>
      <c r="B39">
        <v>192</v>
      </c>
      <c r="C39">
        <v>192</v>
      </c>
      <c r="D39" s="2">
        <v>0.66</v>
      </c>
      <c r="E39" s="3">
        <v>9.9999999999999994E-50</v>
      </c>
      <c r="F39">
        <v>33.49</v>
      </c>
      <c r="G39" t="str">
        <f>HYPERLINK("https://www.ncbi.nlm.nih.gov/nucleotide/XM_015554209.1?report=genbank&amp;log$=nucltop&amp;blast_rank=36&amp;RID=UJJ2VTA1016","XM_015554209.1")</f>
        <v>XM_015554209.1</v>
      </c>
    </row>
    <row r="40" spans="1:7" x14ac:dyDescent="0.35">
      <c r="A40" t="s">
        <v>43</v>
      </c>
      <c r="B40">
        <v>186</v>
      </c>
      <c r="C40">
        <v>186</v>
      </c>
      <c r="D40" s="2">
        <v>0.72</v>
      </c>
      <c r="E40" s="3">
        <v>1.9999999999999999E-47</v>
      </c>
      <c r="F40">
        <v>33.26</v>
      </c>
      <c r="G40" t="str">
        <f>HYPERLINK("https://www.ncbi.nlm.nih.gov/nucleotide/XM_022549209.1?report=genbank&amp;log$=nucltop&amp;blast_rank=37&amp;RID=UJJ2VTA1016","XM_022549209.1")</f>
        <v>XM_022549209.1</v>
      </c>
    </row>
    <row r="41" spans="1:7" x14ac:dyDescent="0.35">
      <c r="A41" t="s">
        <v>44</v>
      </c>
      <c r="B41">
        <v>176</v>
      </c>
      <c r="C41">
        <v>176</v>
      </c>
      <c r="D41" s="2">
        <v>0.61</v>
      </c>
      <c r="E41" s="3">
        <v>9.9999999999999995E-45</v>
      </c>
      <c r="F41">
        <v>33.08</v>
      </c>
      <c r="G41" t="str">
        <f>HYPERLINK("https://www.ncbi.nlm.nih.gov/nucleotide/XM_033572072.1?report=genbank&amp;log$=nucltop&amp;blast_rank=38&amp;RID=UJJ2VTA1016","XM_033572072.1")</f>
        <v>XM_033572072.1</v>
      </c>
    </row>
    <row r="42" spans="1:7" x14ac:dyDescent="0.35">
      <c r="A42" t="s">
        <v>45</v>
      </c>
      <c r="B42">
        <v>202</v>
      </c>
      <c r="C42">
        <v>202</v>
      </c>
      <c r="D42" s="2">
        <v>0.69</v>
      </c>
      <c r="E42" s="3">
        <v>2.0000000000000001E-53</v>
      </c>
      <c r="F42">
        <v>33.03</v>
      </c>
      <c r="G42" t="str">
        <f>HYPERLINK("https://www.ncbi.nlm.nih.gov/nucleotide/XM_007926421.1?report=genbank&amp;log$=nucltop&amp;blast_rank=39&amp;RID=UJJ2VTA1016","XM_007926421.1")</f>
        <v>XM_007926421.1</v>
      </c>
    </row>
    <row r="43" spans="1:7" x14ac:dyDescent="0.35">
      <c r="A43" t="s">
        <v>46</v>
      </c>
      <c r="B43">
        <v>169</v>
      </c>
      <c r="C43">
        <v>169</v>
      </c>
      <c r="D43" s="2">
        <v>0.6</v>
      </c>
      <c r="E43" s="3">
        <v>2E-41</v>
      </c>
      <c r="F43">
        <v>33</v>
      </c>
      <c r="G43" t="str">
        <f>HYPERLINK("https://www.ncbi.nlm.nih.gov/nucleotide/XM_002376542.1?report=genbank&amp;log$=nucltop&amp;blast_rank=40&amp;RID=UJJ2VTA1016","XM_002376542.1")</f>
        <v>XM_002376542.1</v>
      </c>
    </row>
    <row r="44" spans="1:7" x14ac:dyDescent="0.35">
      <c r="A44" s="4" t="s">
        <v>47</v>
      </c>
      <c r="B44" s="4">
        <v>189</v>
      </c>
      <c r="C44" s="4">
        <v>189</v>
      </c>
      <c r="D44" s="5">
        <v>0.66</v>
      </c>
      <c r="E44" s="6">
        <v>9.9999999999999997E-49</v>
      </c>
      <c r="F44" s="4">
        <v>32.880000000000003</v>
      </c>
      <c r="G44" s="4" t="str">
        <f>HYPERLINK("https://www.ncbi.nlm.nih.gov/nucleotide/XM_032089869.1?report=genbank&amp;log$=nucltop&amp;blast_rank=41&amp;RID=UJJ2VTA1016","XM_032089869.1")</f>
        <v>XM_032089869.1</v>
      </c>
    </row>
    <row r="45" spans="1:7" x14ac:dyDescent="0.35">
      <c r="A45" t="s">
        <v>48</v>
      </c>
      <c r="B45">
        <v>198</v>
      </c>
      <c r="C45">
        <v>198</v>
      </c>
      <c r="D45" s="2">
        <v>0.69</v>
      </c>
      <c r="E45" s="3">
        <v>1E-50</v>
      </c>
      <c r="F45">
        <v>32.770000000000003</v>
      </c>
      <c r="G45" t="str">
        <f>HYPERLINK("https://www.ncbi.nlm.nih.gov/nucleotide/XM_009499650.1?report=genbank&amp;log$=nucltop&amp;blast_rank=42&amp;RID=UJJ2VTA1016","XM_009499650.1")</f>
        <v>XM_009499650.1</v>
      </c>
    </row>
    <row r="46" spans="1:7" x14ac:dyDescent="0.35">
      <c r="A46" t="s">
        <v>49</v>
      </c>
      <c r="B46">
        <v>160</v>
      </c>
      <c r="C46">
        <v>160</v>
      </c>
      <c r="D46" s="2">
        <v>0.62</v>
      </c>
      <c r="E46" s="3">
        <v>3.9999999999999998E-38</v>
      </c>
      <c r="F46">
        <v>32.75</v>
      </c>
      <c r="G46" t="str">
        <f>HYPERLINK("https://www.ncbi.nlm.nih.gov/nucleotide/XM_001217916.1?report=genbank&amp;log$=nucltop&amp;blast_rank=43&amp;RID=UJJ2VTA1016","XM_001217916.1")</f>
        <v>XM_001217916.1</v>
      </c>
    </row>
    <row r="47" spans="1:7" x14ac:dyDescent="0.35">
      <c r="A47" s="4" t="s">
        <v>50</v>
      </c>
      <c r="B47" s="4">
        <v>196</v>
      </c>
      <c r="C47" s="4">
        <v>196</v>
      </c>
      <c r="D47" s="5">
        <v>0.66</v>
      </c>
      <c r="E47" s="6">
        <v>6.9999999999999995E-51</v>
      </c>
      <c r="F47" s="4">
        <v>32.49</v>
      </c>
      <c r="G47" s="4" t="str">
        <f>HYPERLINK("https://www.ncbi.nlm.nih.gov/nucleotide/XM_032058508.1?report=genbank&amp;log$=nucltop&amp;blast_rank=44&amp;RID=UJJ2VTA1016","XM_032058508.1")</f>
        <v>XM_032058508.1</v>
      </c>
    </row>
    <row r="48" spans="1:7" x14ac:dyDescent="0.35">
      <c r="A48" t="s">
        <v>51</v>
      </c>
      <c r="B48">
        <v>188</v>
      </c>
      <c r="C48">
        <v>188</v>
      </c>
      <c r="D48" s="2">
        <v>0.66</v>
      </c>
      <c r="E48" s="3">
        <v>4.9999999999999999E-48</v>
      </c>
      <c r="F48">
        <v>32.049999999999997</v>
      </c>
      <c r="G48" t="str">
        <f>HYPERLINK("https://www.ncbi.nlm.nih.gov/nucleotide/XM_025528552.1?report=genbank&amp;log$=nucltop&amp;blast_rank=45&amp;RID=UJJ2VTA1016","XM_025528552.1")</f>
        <v>XM_025528552.1</v>
      </c>
    </row>
    <row r="49" spans="1:7" x14ac:dyDescent="0.35">
      <c r="A49" t="s">
        <v>52</v>
      </c>
      <c r="B49">
        <v>139</v>
      </c>
      <c r="C49">
        <v>139</v>
      </c>
      <c r="D49" s="2">
        <v>0.53</v>
      </c>
      <c r="E49" s="3">
        <v>2.0000000000000001E-32</v>
      </c>
      <c r="F49">
        <v>31.94</v>
      </c>
      <c r="G49" t="str">
        <f>HYPERLINK("https://www.ncbi.nlm.nih.gov/nucleotide/XM_003857413.1?report=genbank&amp;log$=nucltop&amp;blast_rank=46&amp;RID=UJJ2VTA1016","XM_003857413.1")</f>
        <v>XM_003857413.1</v>
      </c>
    </row>
    <row r="50" spans="1:7" x14ac:dyDescent="0.35">
      <c r="A50" t="s">
        <v>53</v>
      </c>
      <c r="B50">
        <v>182</v>
      </c>
      <c r="C50">
        <v>182</v>
      </c>
      <c r="D50" s="2">
        <v>0.66</v>
      </c>
      <c r="E50" s="3">
        <v>2E-45</v>
      </c>
      <c r="F50">
        <v>31.65</v>
      </c>
      <c r="G50" t="str">
        <f>HYPERLINK("https://www.ncbi.nlm.nih.gov/nucleotide/XM_025704096.1?report=genbank&amp;log$=nucltop&amp;blast_rank=47&amp;RID=UJJ2VTA1016","XM_025704096.1")</f>
        <v>XM_025704096.1</v>
      </c>
    </row>
    <row r="51" spans="1:7" x14ac:dyDescent="0.35">
      <c r="A51" t="s">
        <v>54</v>
      </c>
      <c r="B51">
        <v>142</v>
      </c>
      <c r="C51">
        <v>171</v>
      </c>
      <c r="D51" s="2">
        <v>0.64</v>
      </c>
      <c r="E51" s="3">
        <v>3E-32</v>
      </c>
      <c r="F51">
        <v>31.54</v>
      </c>
      <c r="G51" t="str">
        <f>HYPERLINK("https://www.ncbi.nlm.nih.gov/nucleotide/LT853692.1?report=genbank&amp;log$=nucltop&amp;blast_rank=48&amp;RID=UJJ2VTA1016","LT853692.1")</f>
        <v>LT853692.1</v>
      </c>
    </row>
    <row r="52" spans="1:7" x14ac:dyDescent="0.35">
      <c r="A52" s="4" t="s">
        <v>55</v>
      </c>
      <c r="B52" s="4">
        <v>183</v>
      </c>
      <c r="C52" s="4">
        <v>183</v>
      </c>
      <c r="D52" s="5">
        <v>0.68</v>
      </c>
      <c r="E52" s="6">
        <v>2E-46</v>
      </c>
      <c r="F52" s="4">
        <v>31.46</v>
      </c>
      <c r="G52" s="4" t="str">
        <f>HYPERLINK("https://www.ncbi.nlm.nih.gov/nucleotide/XM_032074407.1?report=genbank&amp;log$=nucltop&amp;blast_rank=49&amp;RID=UJJ2VTA1016","XM_032074407.1")</f>
        <v>XM_032074407.1</v>
      </c>
    </row>
    <row r="53" spans="1:7" x14ac:dyDescent="0.35">
      <c r="A53" t="s">
        <v>56</v>
      </c>
      <c r="B53">
        <v>172</v>
      </c>
      <c r="C53">
        <v>172</v>
      </c>
      <c r="D53" s="2">
        <v>0.66</v>
      </c>
      <c r="E53" s="3">
        <v>4.0000000000000003E-43</v>
      </c>
      <c r="F53">
        <v>31.31</v>
      </c>
      <c r="G53" t="str">
        <f>HYPERLINK("https://www.ncbi.nlm.nih.gov/nucleotide/XM_024844676.1?report=genbank&amp;log$=nucltop&amp;blast_rank=50&amp;RID=UJJ2VTA1016","XM_024844676.1")</f>
        <v>XM_024844676.1</v>
      </c>
    </row>
    <row r="54" spans="1:7" x14ac:dyDescent="0.35">
      <c r="A54" t="s">
        <v>57</v>
      </c>
      <c r="B54">
        <v>141</v>
      </c>
      <c r="C54">
        <v>171</v>
      </c>
      <c r="D54" s="2">
        <v>0.65</v>
      </c>
      <c r="E54" s="3">
        <v>2.0000000000000001E-32</v>
      </c>
      <c r="F54">
        <v>31</v>
      </c>
      <c r="G54" t="str">
        <f>HYPERLINK("https://www.ncbi.nlm.nih.gov/nucleotide/LT854253.1?report=genbank&amp;log$=nucltop&amp;blast_rank=51&amp;RID=UJJ2VTA1016","LT854253.1")</f>
        <v>LT854253.1</v>
      </c>
    </row>
    <row r="55" spans="1:7" x14ac:dyDescent="0.35">
      <c r="A55" t="s">
        <v>58</v>
      </c>
      <c r="B55">
        <v>141</v>
      </c>
      <c r="C55">
        <v>171</v>
      </c>
      <c r="D55" s="2">
        <v>0.65</v>
      </c>
      <c r="E55" s="3">
        <v>3E-32</v>
      </c>
      <c r="F55">
        <v>31</v>
      </c>
      <c r="G55" t="str">
        <f>HYPERLINK("https://www.ncbi.nlm.nih.gov/nucleotide/LT854273.1?report=genbank&amp;log$=nucltop&amp;blast_rank=52&amp;RID=UJJ2VTA1016","LT854273.1")</f>
        <v>LT854273.1</v>
      </c>
    </row>
    <row r="56" spans="1:7" x14ac:dyDescent="0.35">
      <c r="A56" t="s">
        <v>59</v>
      </c>
      <c r="B56">
        <v>141</v>
      </c>
      <c r="C56">
        <v>171</v>
      </c>
      <c r="D56" s="2">
        <v>0.65</v>
      </c>
      <c r="E56" s="3">
        <v>3E-32</v>
      </c>
      <c r="F56">
        <v>31</v>
      </c>
      <c r="G56" t="str">
        <f>HYPERLINK("https://www.ncbi.nlm.nih.gov/nucleotide/LT882676.1?report=genbank&amp;log$=nucltop&amp;blast_rank=53&amp;RID=UJJ2VTA1016","LT882676.1")</f>
        <v>LT882676.1</v>
      </c>
    </row>
    <row r="57" spans="1:7" x14ac:dyDescent="0.35">
      <c r="A57" t="s">
        <v>60</v>
      </c>
      <c r="B57">
        <v>174</v>
      </c>
      <c r="C57">
        <v>174</v>
      </c>
      <c r="D57" s="2">
        <v>0.66</v>
      </c>
      <c r="E57" s="3">
        <v>6.9999999999999999E-43</v>
      </c>
      <c r="F57">
        <v>30.99</v>
      </c>
      <c r="G57" t="str">
        <f>HYPERLINK("https://www.ncbi.nlm.nih.gov/nucleotide/XM_035498527.1?report=genbank&amp;log$=nucltop&amp;blast_rank=54&amp;RID=UJJ2VTA1016","XM_035498527.1")</f>
        <v>XM_035498527.1</v>
      </c>
    </row>
    <row r="58" spans="1:7" x14ac:dyDescent="0.35">
      <c r="A58" t="s">
        <v>61</v>
      </c>
      <c r="B58">
        <v>161</v>
      </c>
      <c r="C58">
        <v>161</v>
      </c>
      <c r="D58" s="2">
        <v>0.73</v>
      </c>
      <c r="E58" s="3">
        <v>1.9999999999999999E-38</v>
      </c>
      <c r="F58">
        <v>30.87</v>
      </c>
      <c r="G58" t="str">
        <f>HYPERLINK("https://www.ncbi.nlm.nih.gov/nucleotide/XM_024831712.1?report=genbank&amp;log$=nucltop&amp;blast_rank=55&amp;RID=UJJ2VTA1016","XM_024831712.1")</f>
        <v>XM_024831712.1</v>
      </c>
    </row>
    <row r="59" spans="1:7" x14ac:dyDescent="0.35">
      <c r="A59" t="s">
        <v>62</v>
      </c>
      <c r="B59">
        <v>131</v>
      </c>
      <c r="C59">
        <v>131</v>
      </c>
      <c r="D59" s="2">
        <v>0.53</v>
      </c>
      <c r="E59" s="3">
        <v>3E-28</v>
      </c>
      <c r="F59">
        <v>30.79</v>
      </c>
      <c r="G59" t="str">
        <f>HYPERLINK("https://www.ncbi.nlm.nih.gov/nucleotide/XM_025673733.1?report=genbank&amp;log$=nucltop&amp;blast_rank=56&amp;RID=UJJ2VTA1016","XM_025673733.1")</f>
        <v>XM_025673733.1</v>
      </c>
    </row>
    <row r="60" spans="1:7" x14ac:dyDescent="0.35">
      <c r="A60" t="s">
        <v>63</v>
      </c>
      <c r="B60">
        <v>133</v>
      </c>
      <c r="C60">
        <v>133</v>
      </c>
      <c r="D60" s="2">
        <v>0.53</v>
      </c>
      <c r="E60" s="3">
        <v>9.9999999999999997E-29</v>
      </c>
      <c r="F60">
        <v>30.48</v>
      </c>
      <c r="G60" t="str">
        <f>HYPERLINK("https://www.ncbi.nlm.nih.gov/nucleotide/XM_025640972.1?report=genbank&amp;log$=nucltop&amp;blast_rank=57&amp;RID=UJJ2VTA1016","XM_025640972.1")</f>
        <v>XM_025640972.1</v>
      </c>
    </row>
    <row r="61" spans="1:7" x14ac:dyDescent="0.35">
      <c r="A61" t="s">
        <v>64</v>
      </c>
      <c r="B61">
        <v>151</v>
      </c>
      <c r="C61">
        <v>151</v>
      </c>
      <c r="D61" s="2">
        <v>0.67</v>
      </c>
      <c r="E61" s="3">
        <v>9.9999999999999993E-35</v>
      </c>
      <c r="F61">
        <v>30.47</v>
      </c>
      <c r="G61" t="str">
        <f>HYPERLINK("https://www.ncbi.nlm.nih.gov/nucleotide/XM_025524425.1?report=genbank&amp;log$=nucltop&amp;blast_rank=58&amp;RID=UJJ2VTA1016","XM_025524425.1")</f>
        <v>XM_025524425.1</v>
      </c>
    </row>
    <row r="62" spans="1:7" x14ac:dyDescent="0.35">
      <c r="A62" s="4" t="s">
        <v>65</v>
      </c>
      <c r="B62" s="4">
        <v>193</v>
      </c>
      <c r="C62" s="4">
        <v>193</v>
      </c>
      <c r="D62" s="5">
        <v>0.83</v>
      </c>
      <c r="E62" s="6">
        <v>8.0000000000000001E-50</v>
      </c>
      <c r="F62" s="4">
        <v>30.44</v>
      </c>
      <c r="G62" s="4" t="str">
        <f>HYPERLINK("https://www.ncbi.nlm.nih.gov/nucleotide/XM_026774556.1?report=genbank&amp;log$=nucltop&amp;blast_rank=59&amp;RID=UJJ2VTA1016","XM_026774556.1")</f>
        <v>XM_026774556.1</v>
      </c>
    </row>
    <row r="63" spans="1:7" x14ac:dyDescent="0.35">
      <c r="A63" s="4" t="s">
        <v>66</v>
      </c>
      <c r="B63" s="4">
        <v>168</v>
      </c>
      <c r="C63" s="4">
        <v>168</v>
      </c>
      <c r="D63" s="5">
        <v>0.66</v>
      </c>
      <c r="E63" s="6">
        <v>2.9999999999999999E-41</v>
      </c>
      <c r="F63" s="4">
        <v>30.43</v>
      </c>
      <c r="G63" s="4" t="str">
        <f>HYPERLINK("https://www.ncbi.nlm.nih.gov/nucleotide/XM_035498118.1?report=genbank&amp;log$=nucltop&amp;blast_rank=60&amp;RID=UJJ2VTA1016","XM_035498118.1")</f>
        <v>XM_035498118.1</v>
      </c>
    </row>
    <row r="64" spans="1:7" x14ac:dyDescent="0.35">
      <c r="A64" t="s">
        <v>67</v>
      </c>
      <c r="B64">
        <v>127</v>
      </c>
      <c r="C64">
        <v>127</v>
      </c>
      <c r="D64" s="2">
        <v>0.51</v>
      </c>
      <c r="E64" s="3">
        <v>7.0000000000000003E-27</v>
      </c>
      <c r="F64">
        <v>30.41</v>
      </c>
      <c r="G64" t="str">
        <f>HYPERLINK("https://www.ncbi.nlm.nih.gov/nucleotide/XM_025589412.1?report=genbank&amp;log$=nucltop&amp;blast_rank=61&amp;RID=UJJ2VTA1016","XM_025589412.1")</f>
        <v>XM_025589412.1</v>
      </c>
    </row>
    <row r="65" spans="1:7" x14ac:dyDescent="0.35">
      <c r="A65" t="s">
        <v>68</v>
      </c>
      <c r="B65">
        <v>142</v>
      </c>
      <c r="C65">
        <v>142</v>
      </c>
      <c r="D65" s="2">
        <v>0.57999999999999996</v>
      </c>
      <c r="E65" s="3">
        <v>4.0000000000000002E-33</v>
      </c>
      <c r="F65">
        <v>30.37</v>
      </c>
      <c r="G65" t="str">
        <f>HYPERLINK("https://www.ncbi.nlm.nih.gov/nucleotide/XM_001262908.1?report=genbank&amp;log$=nucltop&amp;blast_rank=62&amp;RID=UJJ2VTA1016","XM_001262908.1")</f>
        <v>XM_001262908.1</v>
      </c>
    </row>
    <row r="66" spans="1:7" x14ac:dyDescent="0.35">
      <c r="A66" t="s">
        <v>69</v>
      </c>
      <c r="B66">
        <v>193</v>
      </c>
      <c r="C66">
        <v>193</v>
      </c>
      <c r="D66" s="2">
        <v>0.83</v>
      </c>
      <c r="E66" s="3">
        <v>9.9999999999999994E-50</v>
      </c>
      <c r="F66">
        <v>30.13</v>
      </c>
      <c r="G66" t="str">
        <f>HYPERLINK("https://www.ncbi.nlm.nih.gov/nucleotide/XM_001390712.2?report=genbank&amp;log$=nucltop&amp;blast_rank=63&amp;RID=UJJ2VTA1016","XM_001390712.2")</f>
        <v>XM_001390712.2</v>
      </c>
    </row>
    <row r="67" spans="1:7" x14ac:dyDescent="0.35">
      <c r="A67" t="s">
        <v>70</v>
      </c>
      <c r="B67">
        <v>124</v>
      </c>
      <c r="C67">
        <v>124</v>
      </c>
      <c r="D67" s="2">
        <v>0.51</v>
      </c>
      <c r="E67" s="3">
        <v>8.0000000000000003E-26</v>
      </c>
      <c r="F67">
        <v>29.82</v>
      </c>
      <c r="G67" t="str">
        <f>HYPERLINK("https://www.ncbi.nlm.nih.gov/nucleotide/XM_020201213.1?report=genbank&amp;log$=nucltop&amp;blast_rank=64&amp;RID=UJJ2VTA1016","XM_020201213.1")</f>
        <v>XM_020201213.1</v>
      </c>
    </row>
    <row r="68" spans="1:7" x14ac:dyDescent="0.35">
      <c r="A68" t="s">
        <v>71</v>
      </c>
      <c r="B68">
        <v>135</v>
      </c>
      <c r="C68">
        <v>135</v>
      </c>
      <c r="D68" s="2">
        <v>0.6</v>
      </c>
      <c r="E68" s="3">
        <v>1.9999999999999999E-29</v>
      </c>
      <c r="F68">
        <v>29.37</v>
      </c>
      <c r="G68" t="str">
        <f>HYPERLINK("https://www.ncbi.nlm.nih.gov/nucleotide/XM_025658697.1?report=genbank&amp;log$=nucltop&amp;blast_rank=65&amp;RID=UJJ2VTA1016","XM_025658697.1")</f>
        <v>XM_025658697.1</v>
      </c>
    </row>
    <row r="69" spans="1:7" x14ac:dyDescent="0.35">
      <c r="A69" t="s">
        <v>69</v>
      </c>
      <c r="B69">
        <v>165</v>
      </c>
      <c r="C69">
        <v>165</v>
      </c>
      <c r="D69" s="2">
        <v>0.82</v>
      </c>
      <c r="E69" s="3">
        <v>1.9999999999999999E-40</v>
      </c>
      <c r="F69">
        <v>29.34</v>
      </c>
      <c r="G69" t="str">
        <f>HYPERLINK("https://www.ncbi.nlm.nih.gov/nucleotide/XM_001401884.2?report=genbank&amp;log$=nucltop&amp;blast_rank=66&amp;RID=UJJ2VTA1016","XM_001401884.2")</f>
        <v>XM_001401884.2</v>
      </c>
    </row>
    <row r="70" spans="1:7" x14ac:dyDescent="0.35">
      <c r="A70" t="s">
        <v>72</v>
      </c>
      <c r="B70">
        <v>165</v>
      </c>
      <c r="C70">
        <v>165</v>
      </c>
      <c r="D70" s="2">
        <v>0.82</v>
      </c>
      <c r="E70" s="3">
        <v>9.0000000000000002E-40</v>
      </c>
      <c r="F70">
        <v>29.34</v>
      </c>
      <c r="G70" t="str">
        <f>HYPERLINK("https://www.ncbi.nlm.nih.gov/nucleotide/XM_025601684.1?report=genbank&amp;log$=nucltop&amp;blast_rank=67&amp;RID=UJJ2VTA1016","XM_025601684.1")</f>
        <v>XM_025601684.1</v>
      </c>
    </row>
    <row r="71" spans="1:7" x14ac:dyDescent="0.35">
      <c r="A71" t="s">
        <v>73</v>
      </c>
      <c r="B71">
        <v>119</v>
      </c>
      <c r="C71">
        <v>119</v>
      </c>
      <c r="D71" s="2">
        <v>0.54</v>
      </c>
      <c r="E71" s="3">
        <v>9.9999999999999996E-24</v>
      </c>
      <c r="F71">
        <v>29.32</v>
      </c>
      <c r="G71" t="str">
        <f>HYPERLINK("https://www.ncbi.nlm.nih.gov/nucleotide/CP002439.1?report=genbank&amp;log$=nucltop&amp;blast_rank=68&amp;RID=UJJ2VTA1016","CP002439.1")</f>
        <v>CP002439.1</v>
      </c>
    </row>
    <row r="72" spans="1:7" x14ac:dyDescent="0.35">
      <c r="A72" t="s">
        <v>74</v>
      </c>
      <c r="B72">
        <v>119</v>
      </c>
      <c r="C72">
        <v>119</v>
      </c>
      <c r="D72" s="2">
        <v>0.54</v>
      </c>
      <c r="E72" s="3">
        <v>9.9999999999999996E-24</v>
      </c>
      <c r="F72">
        <v>29.32</v>
      </c>
      <c r="G72" t="str">
        <f>HYPERLINK("https://www.ncbi.nlm.nih.gov/nucleotide/CP032682.1?report=genbank&amp;log$=nucltop&amp;blast_rank=69&amp;RID=UJJ2VTA1016","CP032682.1")</f>
        <v>CP032682.1</v>
      </c>
    </row>
    <row r="73" spans="1:7" x14ac:dyDescent="0.35">
      <c r="A73" t="s">
        <v>75</v>
      </c>
      <c r="B73">
        <v>119</v>
      </c>
      <c r="C73">
        <v>119</v>
      </c>
      <c r="D73" s="2">
        <v>0.54</v>
      </c>
      <c r="E73" s="3">
        <v>9.9999999999999996E-24</v>
      </c>
      <c r="F73">
        <v>29.32</v>
      </c>
      <c r="G73" t="str">
        <f>HYPERLINK("https://www.ncbi.nlm.nih.gov/nucleotide/CP016073.1?report=genbank&amp;log$=nucltop&amp;blast_rank=70&amp;RID=UJJ2VTA1016","CP016073.1")</f>
        <v>CP016073.1</v>
      </c>
    </row>
    <row r="74" spans="1:7" x14ac:dyDescent="0.35">
      <c r="A74" t="s">
        <v>76</v>
      </c>
      <c r="B74">
        <v>148</v>
      </c>
      <c r="C74">
        <v>148</v>
      </c>
      <c r="D74" s="2">
        <v>0.65</v>
      </c>
      <c r="E74" s="3">
        <v>9.0000000000000008E-34</v>
      </c>
      <c r="F74">
        <v>29.27</v>
      </c>
      <c r="G74" t="str">
        <f>HYPERLINK("https://www.ncbi.nlm.nih.gov/nucleotide/XM_026762387.1?report=genbank&amp;log$=nucltop&amp;blast_rank=71&amp;RID=UJJ2VTA1016","XM_026762387.1")</f>
        <v>XM_026762387.1</v>
      </c>
    </row>
    <row r="75" spans="1:7" x14ac:dyDescent="0.35">
      <c r="A75" t="s">
        <v>77</v>
      </c>
      <c r="B75">
        <v>132</v>
      </c>
      <c r="C75">
        <v>132</v>
      </c>
      <c r="D75" s="2">
        <v>0.6</v>
      </c>
      <c r="E75" s="3">
        <v>3E-28</v>
      </c>
      <c r="F75">
        <v>29.19</v>
      </c>
      <c r="G75" t="str">
        <f>HYPERLINK("https://www.ncbi.nlm.nih.gov/nucleotide/XM_025680603.1?report=genbank&amp;log$=nucltop&amp;blast_rank=72&amp;RID=UJJ2VTA1016","XM_025680603.1")</f>
        <v>XM_025680603.1</v>
      </c>
    </row>
    <row r="76" spans="1:7" x14ac:dyDescent="0.35">
      <c r="A76" t="s">
        <v>78</v>
      </c>
      <c r="B76">
        <v>149</v>
      </c>
      <c r="C76">
        <v>149</v>
      </c>
      <c r="D76" s="2">
        <v>0.68</v>
      </c>
      <c r="E76" s="3">
        <v>1E-35</v>
      </c>
      <c r="F76">
        <v>29.17</v>
      </c>
      <c r="G76" t="str">
        <f>HYPERLINK("https://www.ncbi.nlm.nih.gov/nucleotide/XM_001262909.1?report=genbank&amp;log$=nucltop&amp;blast_rank=73&amp;RID=UJJ2VTA1016","XM_001262909.1")</f>
        <v>XM_001262909.1</v>
      </c>
    </row>
    <row r="77" spans="1:7" x14ac:dyDescent="0.35">
      <c r="A77" t="s">
        <v>79</v>
      </c>
      <c r="B77">
        <v>163</v>
      </c>
      <c r="C77">
        <v>163</v>
      </c>
      <c r="D77" s="2">
        <v>0.61</v>
      </c>
      <c r="E77" s="3">
        <v>3.0000000000000003E-39</v>
      </c>
      <c r="F77">
        <v>29.15</v>
      </c>
      <c r="G77" t="str">
        <f>HYPERLINK("https://www.ncbi.nlm.nih.gov/nucleotide/XM_033553550.1?report=genbank&amp;log$=nucltop&amp;blast_rank=74&amp;RID=UJJ2VTA1016","XM_033553550.1")</f>
        <v>XM_033553550.1</v>
      </c>
    </row>
    <row r="78" spans="1:7" x14ac:dyDescent="0.35">
      <c r="A78" t="s">
        <v>80</v>
      </c>
      <c r="B78">
        <v>176</v>
      </c>
      <c r="C78">
        <v>176</v>
      </c>
      <c r="D78" s="2">
        <v>0.89</v>
      </c>
      <c r="E78" s="3">
        <v>2.0000000000000002E-43</v>
      </c>
      <c r="F78">
        <v>28.74</v>
      </c>
      <c r="G78" t="str">
        <f>HYPERLINK("https://www.ncbi.nlm.nih.gov/nucleotide/XM_025662501.1?report=genbank&amp;log$=nucltop&amp;blast_rank=75&amp;RID=UJJ2VTA1016","XM_025662501.1")</f>
        <v>XM_025662501.1</v>
      </c>
    </row>
    <row r="79" spans="1:7" x14ac:dyDescent="0.35">
      <c r="A79" t="s">
        <v>81</v>
      </c>
      <c r="B79">
        <v>137</v>
      </c>
      <c r="C79">
        <v>137</v>
      </c>
      <c r="D79" s="2">
        <v>0.64</v>
      </c>
      <c r="E79" s="3">
        <v>2.0000000000000002E-30</v>
      </c>
      <c r="F79">
        <v>28.71</v>
      </c>
      <c r="G79" t="str">
        <f>HYPERLINK("https://www.ncbi.nlm.nih.gov/nucleotide/XM_011327711.1?report=genbank&amp;log$=nucltop&amp;blast_rank=76&amp;RID=UJJ2VTA1016","XM_011327711.1")</f>
        <v>XM_011327711.1</v>
      </c>
    </row>
    <row r="80" spans="1:7" x14ac:dyDescent="0.35">
      <c r="A80" t="s">
        <v>82</v>
      </c>
      <c r="B80">
        <v>121</v>
      </c>
      <c r="C80">
        <v>121</v>
      </c>
      <c r="D80" s="2">
        <v>0.6</v>
      </c>
      <c r="E80" s="3">
        <v>1E-25</v>
      </c>
      <c r="F80">
        <v>28.39</v>
      </c>
      <c r="G80" t="str">
        <f>HYPERLINK("https://www.ncbi.nlm.nih.gov/nucleotide/XM_033601052.1?report=genbank&amp;log$=nucltop&amp;blast_rank=77&amp;RID=UJJ2VTA1016","XM_033601052.1")</f>
        <v>XM_033601052.1</v>
      </c>
    </row>
    <row r="81" spans="1:7" x14ac:dyDescent="0.35">
      <c r="A81" t="s">
        <v>83</v>
      </c>
      <c r="B81">
        <v>123</v>
      </c>
      <c r="C81">
        <v>123</v>
      </c>
      <c r="D81" s="2">
        <v>0.65</v>
      </c>
      <c r="E81" s="3">
        <v>7.0000000000000004E-25</v>
      </c>
      <c r="F81">
        <v>28.35</v>
      </c>
      <c r="G81" t="str">
        <f>HYPERLINK("https://www.ncbi.nlm.nih.gov/nucleotide/LR699119.1?report=genbank&amp;log$=nucltop&amp;blast_rank=78&amp;RID=UJJ2VTA1016","LR699119.1")</f>
        <v>LR699119.1</v>
      </c>
    </row>
    <row r="82" spans="1:7" x14ac:dyDescent="0.35">
      <c r="A82" t="s">
        <v>84</v>
      </c>
      <c r="B82">
        <v>160</v>
      </c>
      <c r="C82">
        <v>160</v>
      </c>
      <c r="D82" s="2">
        <v>0.72</v>
      </c>
      <c r="E82" s="3">
        <v>2.9999999999999999E-38</v>
      </c>
      <c r="F82">
        <v>28.33</v>
      </c>
      <c r="G82" t="str">
        <f>HYPERLINK("https://www.ncbi.nlm.nih.gov/nucleotide/XM_023599633.1?report=genbank&amp;log$=nucltop&amp;blast_rank=79&amp;RID=UJJ2VTA1016","XM_023599633.1")</f>
        <v>XM_023599633.1</v>
      </c>
    </row>
    <row r="83" spans="1:7" x14ac:dyDescent="0.35">
      <c r="A83" t="s">
        <v>85</v>
      </c>
      <c r="B83">
        <v>188</v>
      </c>
      <c r="C83">
        <v>188</v>
      </c>
      <c r="D83" s="2">
        <v>0.95</v>
      </c>
      <c r="E83" s="3">
        <v>2.9999999999999999E-48</v>
      </c>
      <c r="F83">
        <v>28.09</v>
      </c>
      <c r="G83" t="str">
        <f>HYPERLINK("https://www.ncbi.nlm.nih.gov/nucleotide/XM_002559523.1?report=genbank&amp;log$=nucltop&amp;blast_rank=80&amp;RID=UJJ2VTA1016","XM_002559523.1")</f>
        <v>XM_002559523.1</v>
      </c>
    </row>
    <row r="84" spans="1:7" x14ac:dyDescent="0.35">
      <c r="A84" t="s">
        <v>86</v>
      </c>
      <c r="B84">
        <v>142</v>
      </c>
      <c r="C84">
        <v>175</v>
      </c>
      <c r="D84" s="2">
        <v>0.63</v>
      </c>
      <c r="E84" s="3">
        <v>2.0000000000000001E-33</v>
      </c>
      <c r="F84">
        <v>28.01</v>
      </c>
      <c r="G84" t="str">
        <f>HYPERLINK("https://www.ncbi.nlm.nih.gov/nucleotide/AM920428.1?report=genbank&amp;log$=nucltop&amp;blast_rank=81&amp;RID=UJJ2VTA1016","AM920428.1")</f>
        <v>AM920428.1</v>
      </c>
    </row>
    <row r="85" spans="1:7" x14ac:dyDescent="0.35">
      <c r="A85" s="4" t="s">
        <v>87</v>
      </c>
      <c r="B85" s="4">
        <v>141</v>
      </c>
      <c r="C85" s="4">
        <v>141</v>
      </c>
      <c r="D85" s="5">
        <v>0.64</v>
      </c>
      <c r="E85" s="6">
        <v>5.9999999999999996E-31</v>
      </c>
      <c r="F85" s="4">
        <v>27.95</v>
      </c>
      <c r="G85" s="4" t="str">
        <f>HYPERLINK("https://www.ncbi.nlm.nih.gov/nucleotide/XM_007819030.2?report=genbank&amp;log$=nucltop&amp;blast_rank=82&amp;RID=UJJ2VTA1016","XM_007819030.2")</f>
        <v>XM_007819030.2</v>
      </c>
    </row>
    <row r="86" spans="1:7" x14ac:dyDescent="0.35">
      <c r="A86" t="s">
        <v>88</v>
      </c>
      <c r="B86">
        <v>114</v>
      </c>
      <c r="C86">
        <v>114</v>
      </c>
      <c r="D86" s="2">
        <v>0.59</v>
      </c>
      <c r="E86" s="3">
        <v>1.9999999999999999E-23</v>
      </c>
      <c r="F86">
        <v>27.94</v>
      </c>
      <c r="G86" t="str">
        <f>HYPERLINK("https://www.ncbi.nlm.nih.gov/nucleotide/XM_032059862.1?report=genbank&amp;log$=nucltop&amp;blast_rank=83&amp;RID=UJJ2VTA1016","XM_032059862.1")</f>
        <v>XM_032059862.1</v>
      </c>
    </row>
    <row r="87" spans="1:7" x14ac:dyDescent="0.35">
      <c r="A87" t="s">
        <v>89</v>
      </c>
      <c r="B87">
        <v>142</v>
      </c>
      <c r="C87">
        <v>142</v>
      </c>
      <c r="D87" s="2">
        <v>0.65</v>
      </c>
      <c r="E87" s="3">
        <v>2.0000000000000002E-31</v>
      </c>
      <c r="F87">
        <v>27.76</v>
      </c>
      <c r="G87" t="str">
        <f>HYPERLINK("https://www.ncbi.nlm.nih.gov/nucleotide/XM_024828224.1?report=genbank&amp;log$=nucltop&amp;blast_rank=84&amp;RID=UJJ2VTA1016","XM_024828224.1")</f>
        <v>XM_024828224.1</v>
      </c>
    </row>
    <row r="88" spans="1:7" x14ac:dyDescent="0.35">
      <c r="A88" t="s">
        <v>90</v>
      </c>
      <c r="B88">
        <v>162</v>
      </c>
      <c r="C88">
        <v>162</v>
      </c>
      <c r="D88" s="2">
        <v>0.87</v>
      </c>
      <c r="E88" s="3">
        <v>9.9999999999999996E-39</v>
      </c>
      <c r="F88">
        <v>27.73</v>
      </c>
      <c r="G88" t="str">
        <f>HYPERLINK("https://www.ncbi.nlm.nih.gov/nucleotide/XM_025683366.1?report=genbank&amp;log$=nucltop&amp;blast_rank=85&amp;RID=UJJ2VTA1016","XM_025683366.1")</f>
        <v>XM_025683366.1</v>
      </c>
    </row>
    <row r="89" spans="1:7" x14ac:dyDescent="0.35">
      <c r="A89" t="s">
        <v>91</v>
      </c>
      <c r="B89">
        <v>137</v>
      </c>
      <c r="C89">
        <v>137</v>
      </c>
      <c r="D89" s="2">
        <v>0.61</v>
      </c>
      <c r="E89" s="3">
        <v>3.0000000000000003E-29</v>
      </c>
      <c r="F89">
        <v>27.46</v>
      </c>
      <c r="G89" t="str">
        <f>HYPERLINK("https://www.ncbi.nlm.nih.gov/nucleotide/CP051096.1?report=genbank&amp;log$=nucltop&amp;blast_rank=86&amp;RID=UJJ2VTA1016","CP051096.1")</f>
        <v>CP051096.1</v>
      </c>
    </row>
    <row r="90" spans="1:7" x14ac:dyDescent="0.35">
      <c r="A90" t="s">
        <v>92</v>
      </c>
      <c r="B90">
        <v>137</v>
      </c>
      <c r="C90">
        <v>137</v>
      </c>
      <c r="D90" s="2">
        <v>0.61</v>
      </c>
      <c r="E90" s="3">
        <v>3.0000000000000003E-29</v>
      </c>
      <c r="F90">
        <v>27.46</v>
      </c>
      <c r="G90" t="str">
        <f>HYPERLINK("https://www.ncbi.nlm.nih.gov/nucleotide/CP051080.1?report=genbank&amp;log$=nucltop&amp;blast_rank=87&amp;RID=UJJ2VTA1016","CP051080.1")</f>
        <v>CP051080.1</v>
      </c>
    </row>
    <row r="91" spans="1:7" x14ac:dyDescent="0.35">
      <c r="A91" t="s">
        <v>93</v>
      </c>
      <c r="B91">
        <v>137</v>
      </c>
      <c r="C91">
        <v>137</v>
      </c>
      <c r="D91" s="2">
        <v>0.61</v>
      </c>
      <c r="E91" s="3">
        <v>3.0000000000000003E-29</v>
      </c>
      <c r="F91">
        <v>27.46</v>
      </c>
      <c r="G91" t="str">
        <f>HYPERLINK("https://www.ncbi.nlm.nih.gov/nucleotide/CP051024.1?report=genbank&amp;log$=nucltop&amp;blast_rank=88&amp;RID=UJJ2VTA1016","CP051024.1")</f>
        <v>CP051024.1</v>
      </c>
    </row>
    <row r="92" spans="1:7" x14ac:dyDescent="0.35">
      <c r="A92" t="s">
        <v>94</v>
      </c>
      <c r="B92">
        <v>137</v>
      </c>
      <c r="C92">
        <v>137</v>
      </c>
      <c r="D92" s="2">
        <v>0.61</v>
      </c>
      <c r="E92" s="3">
        <v>3.0000000000000003E-29</v>
      </c>
      <c r="F92">
        <v>27.46</v>
      </c>
      <c r="G92" t="str">
        <f>HYPERLINK("https://www.ncbi.nlm.nih.gov/nucleotide/CP051064.1?report=genbank&amp;log$=nucltop&amp;blast_rank=89&amp;RID=UJJ2VTA1016","CP051064.1")</f>
        <v>CP051064.1</v>
      </c>
    </row>
    <row r="93" spans="1:7" x14ac:dyDescent="0.35">
      <c r="A93" t="s">
        <v>95</v>
      </c>
      <c r="B93">
        <v>137</v>
      </c>
      <c r="C93">
        <v>137</v>
      </c>
      <c r="D93" s="2">
        <v>0.61</v>
      </c>
      <c r="E93" s="3">
        <v>3.0000000000000003E-29</v>
      </c>
      <c r="F93">
        <v>27.46</v>
      </c>
      <c r="G93" t="str">
        <f>HYPERLINK("https://www.ncbi.nlm.nih.gov/nucleotide/CP051074.1?report=genbank&amp;log$=nucltop&amp;blast_rank=90&amp;RID=UJJ2VTA1016","CP051074.1")</f>
        <v>CP051074.1</v>
      </c>
    </row>
    <row r="94" spans="1:7" x14ac:dyDescent="0.35">
      <c r="A94" t="s">
        <v>96</v>
      </c>
      <c r="B94">
        <v>143</v>
      </c>
      <c r="C94">
        <v>143</v>
      </c>
      <c r="D94" s="2">
        <v>0.82</v>
      </c>
      <c r="E94" s="3">
        <v>1.0000000000000001E-31</v>
      </c>
      <c r="F94">
        <v>27.44</v>
      </c>
      <c r="G94" t="str">
        <f>HYPERLINK("https://www.ncbi.nlm.nih.gov/nucleotide/XM_026772820.1?report=genbank&amp;log$=nucltop&amp;blast_rank=91&amp;RID=UJJ2VTA1016","XM_026772820.1")</f>
        <v>XM_026772820.1</v>
      </c>
    </row>
    <row r="95" spans="1:7" x14ac:dyDescent="0.35">
      <c r="A95" t="s">
        <v>97</v>
      </c>
      <c r="B95">
        <v>141</v>
      </c>
      <c r="C95">
        <v>141</v>
      </c>
      <c r="D95" s="2">
        <v>0.65</v>
      </c>
      <c r="E95" s="3">
        <v>2.0000000000000002E-31</v>
      </c>
      <c r="F95">
        <v>27.42</v>
      </c>
      <c r="G95" t="str">
        <f>HYPERLINK("https://www.ncbi.nlm.nih.gov/nucleotide/XM_035484606.1?report=genbank&amp;log$=nucltop&amp;blast_rank=92&amp;RID=UJJ2VTA1016","XM_035484606.1")</f>
        <v>XM_035484606.1</v>
      </c>
    </row>
    <row r="96" spans="1:7" x14ac:dyDescent="0.35">
      <c r="A96" t="s">
        <v>98</v>
      </c>
      <c r="B96">
        <v>137</v>
      </c>
      <c r="C96">
        <v>271</v>
      </c>
      <c r="D96" s="2">
        <v>0.73</v>
      </c>
      <c r="E96" s="3">
        <v>1.9999999999999999E-29</v>
      </c>
      <c r="F96">
        <v>27.25</v>
      </c>
      <c r="G96" t="str">
        <f>HYPERLINK("https://www.ncbi.nlm.nih.gov/nucleotide/XM_026749516.1?report=genbank&amp;log$=nucltop&amp;blast_rank=93&amp;RID=UJJ2VTA1016","XM_026749516.1")</f>
        <v>XM_026749516.1</v>
      </c>
    </row>
    <row r="97" spans="1:7" x14ac:dyDescent="0.35">
      <c r="A97" s="4" t="s">
        <v>99</v>
      </c>
      <c r="B97" s="4">
        <v>139</v>
      </c>
      <c r="C97" s="4">
        <v>139</v>
      </c>
      <c r="D97" s="5">
        <v>0.66</v>
      </c>
      <c r="E97" s="6">
        <v>4.0000000000000003E-30</v>
      </c>
      <c r="F97" s="4">
        <v>26.85</v>
      </c>
      <c r="G97" s="4" t="str">
        <f>HYPERLINK("https://www.ncbi.nlm.nih.gov/nucleotide/XM_014687487.1?report=genbank&amp;log$=nucltop&amp;blast_rank=94&amp;RID=UJJ2VTA1016","XM_014687487.1")</f>
        <v>XM_014687487.1</v>
      </c>
    </row>
    <row r="98" spans="1:7" x14ac:dyDescent="0.35">
      <c r="A98" t="s">
        <v>100</v>
      </c>
      <c r="B98">
        <v>110</v>
      </c>
      <c r="C98">
        <v>110</v>
      </c>
      <c r="D98" s="2">
        <v>0.63</v>
      </c>
      <c r="E98" s="3">
        <v>9.9999999999999991E-22</v>
      </c>
      <c r="F98">
        <v>26.58</v>
      </c>
      <c r="G98" t="str">
        <f>HYPERLINK("https://www.ncbi.nlm.nih.gov/nucleotide/XM_033569058.1?report=genbank&amp;log$=nucltop&amp;blast_rank=95&amp;RID=UJJ2VTA1016","XM_033569058.1")</f>
        <v>XM_033569058.1</v>
      </c>
    </row>
    <row r="99" spans="1:7" x14ac:dyDescent="0.35">
      <c r="A99" t="s">
        <v>101</v>
      </c>
      <c r="B99">
        <v>130</v>
      </c>
      <c r="C99">
        <v>130</v>
      </c>
      <c r="D99" s="2">
        <v>0.67</v>
      </c>
      <c r="E99" s="3">
        <v>1.9999999999999999E-28</v>
      </c>
      <c r="F99">
        <v>26.14</v>
      </c>
      <c r="G99" t="str">
        <f>HYPERLINK("https://www.ncbi.nlm.nih.gov/nucleotide/XM_023596533.1?report=genbank&amp;log$=nucltop&amp;blast_rank=96&amp;RID=UJJ2VTA1016","XM_023596533.1")</f>
        <v>XM_023596533.1</v>
      </c>
    </row>
    <row r="100" spans="1:7" x14ac:dyDescent="0.35">
      <c r="A100" t="s">
        <v>102</v>
      </c>
      <c r="B100">
        <v>112</v>
      </c>
      <c r="C100">
        <v>144</v>
      </c>
      <c r="D100" s="2">
        <v>0.62</v>
      </c>
      <c r="E100" s="3">
        <v>3.9999999999999997E-24</v>
      </c>
      <c r="F100">
        <v>26.07</v>
      </c>
      <c r="G100" t="str">
        <f>HYPERLINK("https://www.ncbi.nlm.nih.gov/nucleotide/CP055898.1?report=genbank&amp;log$=nucltop&amp;blast_rank=97&amp;RID=UJJ2VTA1016","CP055898.1")</f>
        <v>CP055898.1</v>
      </c>
    </row>
    <row r="101" spans="1:7" x14ac:dyDescent="0.35">
      <c r="A101" t="s">
        <v>103</v>
      </c>
      <c r="B101">
        <v>61.2</v>
      </c>
      <c r="C101">
        <v>159</v>
      </c>
      <c r="D101" s="2">
        <v>0.65</v>
      </c>
      <c r="E101" s="3">
        <v>8.9999999999999995E-23</v>
      </c>
      <c r="F101">
        <v>26</v>
      </c>
      <c r="G101" t="str">
        <f>HYPERLINK("https://www.ncbi.nlm.nih.gov/nucleotide/CP058932.1?report=genbank&amp;log$=nucltop&amp;blast_rank=98&amp;RID=UJJ2VTA1016","CP058932.1")</f>
        <v>CP058932.1</v>
      </c>
    </row>
    <row r="102" spans="1:7" x14ac:dyDescent="0.35">
      <c r="A102" t="s">
        <v>104</v>
      </c>
      <c r="B102">
        <v>103</v>
      </c>
      <c r="C102">
        <v>142</v>
      </c>
      <c r="D102" s="2">
        <v>0.64</v>
      </c>
      <c r="E102" s="3">
        <v>9.9999999999999996E-24</v>
      </c>
      <c r="F102">
        <v>25.42</v>
      </c>
      <c r="G102" t="str">
        <f>HYPERLINK("https://www.ncbi.nlm.nih.gov/nucleotide/CP036211.1?report=genbank&amp;log$=nucltop&amp;blast_rank=99&amp;RID=UJJ2VTA1016","CP036211.1")</f>
        <v>CP036211.1</v>
      </c>
    </row>
    <row r="103" spans="1:7" x14ac:dyDescent="0.35">
      <c r="A103" t="s">
        <v>105</v>
      </c>
      <c r="B103">
        <v>137</v>
      </c>
      <c r="C103">
        <v>137</v>
      </c>
      <c r="D103" s="2">
        <v>0.74</v>
      </c>
      <c r="E103" s="3">
        <v>9.9999999999999994E-30</v>
      </c>
      <c r="F103">
        <v>24.85</v>
      </c>
      <c r="G103" t="str">
        <f>HYPERLINK("https://www.ncbi.nlm.nih.gov/nucleotide/XM_033555780.1?report=genbank&amp;log$=nucltop&amp;blast_rank=100&amp;RID=UJJ2VTA1016","XM_033555780.1")</f>
        <v>XM_033555780.1</v>
      </c>
    </row>
    <row r="104" spans="1:7" s="1" customFormat="1" x14ac:dyDescent="0.35">
      <c r="A104" s="1" t="s">
        <v>106</v>
      </c>
    </row>
    <row r="105" spans="1:7" x14ac:dyDescent="0.35">
      <c r="A105" s="1" t="s">
        <v>2</v>
      </c>
      <c r="B105" s="1" t="s">
        <v>3</v>
      </c>
      <c r="C105" s="1" t="s">
        <v>4</v>
      </c>
      <c r="D105" s="1" t="s">
        <v>5</v>
      </c>
      <c r="E105" s="1" t="s">
        <v>6</v>
      </c>
      <c r="F105" s="1" t="s">
        <v>7</v>
      </c>
      <c r="G105" s="1" t="s">
        <v>8</v>
      </c>
    </row>
    <row r="106" spans="1:7" x14ac:dyDescent="0.35">
      <c r="A106" t="s">
        <v>9</v>
      </c>
      <c r="B106">
        <v>666</v>
      </c>
      <c r="C106">
        <v>666</v>
      </c>
      <c r="D106" s="2">
        <v>1</v>
      </c>
      <c r="E106">
        <v>0</v>
      </c>
      <c r="F106">
        <v>68.37</v>
      </c>
      <c r="G106" t="str">
        <f>HYPERLINK("https://www.ncbi.nlm.nih.gov/nucleotide/LR732079.1?report=genbank&amp;log$=nucltop&amp;blast_rank=1&amp;RID=UJKJA9N5013","LR732079.1")</f>
        <v>LR732079.1</v>
      </c>
    </row>
    <row r="107" spans="1:7" x14ac:dyDescent="0.35">
      <c r="A107" t="s">
        <v>107</v>
      </c>
      <c r="B107">
        <v>171</v>
      </c>
      <c r="C107">
        <v>217</v>
      </c>
      <c r="D107" s="2">
        <v>0.38</v>
      </c>
      <c r="E107" s="3">
        <v>2.9999999999999999E-46</v>
      </c>
      <c r="F107">
        <v>66.98</v>
      </c>
      <c r="G107" t="str">
        <f>HYPERLINK("https://www.ncbi.nlm.nih.gov/nucleotide/CP019380.1?report=genbank&amp;log$=nucltop&amp;blast_rank=2&amp;RID=UJKJA9N5013","CP019380.1")</f>
        <v>CP019380.1</v>
      </c>
    </row>
    <row r="108" spans="1:7" x14ac:dyDescent="0.35">
      <c r="A108" t="s">
        <v>108</v>
      </c>
      <c r="B108">
        <v>190</v>
      </c>
      <c r="C108">
        <v>190</v>
      </c>
      <c r="D108" s="2">
        <v>0.25</v>
      </c>
      <c r="E108" s="3">
        <v>1E-54</v>
      </c>
      <c r="F108">
        <v>62.31</v>
      </c>
      <c r="G108" t="str">
        <f>HYPERLINK("https://www.ncbi.nlm.nih.gov/nucleotide/XM_024486644.1?report=genbank&amp;log$=nucltop&amp;blast_rank=3&amp;RID=UJKJA9N5013","XM_024486644.1")</f>
        <v>XM_024486644.1</v>
      </c>
    </row>
    <row r="109" spans="1:7" x14ac:dyDescent="0.35">
      <c r="A109" t="s">
        <v>109</v>
      </c>
      <c r="B109">
        <v>187</v>
      </c>
      <c r="C109">
        <v>187</v>
      </c>
      <c r="D109" s="2">
        <v>0.27</v>
      </c>
      <c r="E109" s="3">
        <v>3.0000000000000002E-53</v>
      </c>
      <c r="F109">
        <v>58.16</v>
      </c>
      <c r="G109" t="str">
        <f>HYPERLINK("https://www.ncbi.nlm.nih.gov/nucleotide/XM_007870492.1?report=genbank&amp;log$=nucltop&amp;blast_rank=4&amp;RID=UJKJA9N5013","XM_007870492.1")</f>
        <v>XM_007870492.1</v>
      </c>
    </row>
    <row r="110" spans="1:7" x14ac:dyDescent="0.35">
      <c r="A110" t="s">
        <v>21</v>
      </c>
      <c r="B110">
        <v>177</v>
      </c>
      <c r="C110">
        <v>177</v>
      </c>
      <c r="D110" s="2">
        <v>0.25</v>
      </c>
      <c r="E110" s="3">
        <v>6.9999999999999999E-50</v>
      </c>
      <c r="F110">
        <v>58.14</v>
      </c>
      <c r="G110" t="str">
        <f>HYPERLINK("https://www.ncbi.nlm.nih.gov/nucleotide/XM_009546988.1?report=genbank&amp;log$=nucltop&amp;blast_rank=5&amp;RID=UJKJA9N5013","XM_009546988.1")</f>
        <v>XM_009546988.1</v>
      </c>
    </row>
    <row r="111" spans="1:7" x14ac:dyDescent="0.35">
      <c r="A111" t="s">
        <v>110</v>
      </c>
      <c r="B111">
        <v>214</v>
      </c>
      <c r="C111">
        <v>214</v>
      </c>
      <c r="D111" s="2">
        <v>0.34</v>
      </c>
      <c r="E111" s="3">
        <v>3.0000000000000001E-62</v>
      </c>
      <c r="F111">
        <v>57.95</v>
      </c>
      <c r="G111" t="str">
        <f>HYPERLINK("https://www.ncbi.nlm.nih.gov/nucleotide/XM_003033916.1?report=genbank&amp;log$=nucltop&amp;blast_rank=6&amp;RID=UJKJA9N5013","XM_003033916.1")</f>
        <v>XM_003033916.1</v>
      </c>
    </row>
    <row r="112" spans="1:7" x14ac:dyDescent="0.35">
      <c r="A112" t="s">
        <v>111</v>
      </c>
      <c r="B112">
        <v>223</v>
      </c>
      <c r="C112">
        <v>223</v>
      </c>
      <c r="D112" s="2">
        <v>0.37</v>
      </c>
      <c r="E112" s="3">
        <v>9.9999999999999992E-66</v>
      </c>
      <c r="F112">
        <v>56.91</v>
      </c>
      <c r="G112" t="str">
        <f>HYPERLINK("https://www.ncbi.nlm.nih.gov/nucleotide/XM_007330300.1?report=genbank&amp;log$=nucltop&amp;blast_rank=7&amp;RID=UJKJA9N5013","XM_007330300.1")</f>
        <v>XM_007330300.1</v>
      </c>
    </row>
    <row r="113" spans="1:7" x14ac:dyDescent="0.35">
      <c r="A113" t="s">
        <v>112</v>
      </c>
      <c r="B113">
        <v>171</v>
      </c>
      <c r="C113">
        <v>171</v>
      </c>
      <c r="D113" s="2">
        <v>0.24</v>
      </c>
      <c r="E113" s="3">
        <v>7.9999999999999998E-47</v>
      </c>
      <c r="F113">
        <v>56.64</v>
      </c>
      <c r="G113" t="str">
        <f>HYPERLINK("https://www.ncbi.nlm.nih.gov/nucleotide/XM_007393520.1?report=genbank&amp;log$=nucltop&amp;blast_rank=8&amp;RID=UJKJA9N5013","XM_007393520.1")</f>
        <v>XM_007393520.1</v>
      </c>
    </row>
    <row r="114" spans="1:7" x14ac:dyDescent="0.35">
      <c r="A114" t="s">
        <v>113</v>
      </c>
      <c r="B114">
        <v>192</v>
      </c>
      <c r="C114">
        <v>192</v>
      </c>
      <c r="D114" s="2">
        <v>0.34</v>
      </c>
      <c r="E114" s="3">
        <v>2E-55</v>
      </c>
      <c r="F114">
        <v>55.11</v>
      </c>
      <c r="G114" t="str">
        <f>HYPERLINK("https://www.ncbi.nlm.nih.gov/nucleotide/XM_008041408.1?report=genbank&amp;log$=nucltop&amp;blast_rank=9&amp;RID=UJKJA9N5013","XM_008041408.1")</f>
        <v>XM_008041408.1</v>
      </c>
    </row>
    <row r="115" spans="1:7" x14ac:dyDescent="0.35">
      <c r="A115" s="4" t="s">
        <v>114</v>
      </c>
      <c r="B115" s="4">
        <v>196</v>
      </c>
      <c r="C115" s="4">
        <v>196</v>
      </c>
      <c r="D115" s="5">
        <v>0.33</v>
      </c>
      <c r="E115" s="6">
        <v>7.0000000000000001E-52</v>
      </c>
      <c r="F115" s="4">
        <v>54.97</v>
      </c>
      <c r="G115" s="4" t="str">
        <f>HYPERLINK("https://www.ncbi.nlm.nih.gov/nucleotide/LR724670.1?report=genbank&amp;log$=nucltop&amp;blast_rank=10&amp;RID=UJKJA9N5013","LR724670.1")</f>
        <v>LR724670.1</v>
      </c>
    </row>
    <row r="116" spans="1:7" x14ac:dyDescent="0.35">
      <c r="A116" t="s">
        <v>115</v>
      </c>
      <c r="B116">
        <v>191</v>
      </c>
      <c r="C116">
        <v>191</v>
      </c>
      <c r="D116" s="2">
        <v>0.33</v>
      </c>
      <c r="E116" s="3">
        <v>2.0000000000000001E-54</v>
      </c>
      <c r="F116">
        <v>52.63</v>
      </c>
      <c r="G116" t="str">
        <f>HYPERLINK("https://www.ncbi.nlm.nih.gov/nucleotide/XM_007388990.1?report=genbank&amp;log$=nucltop&amp;blast_rank=11&amp;RID=UJKJA9N5013","XM_007388990.1")</f>
        <v>XM_007388990.1</v>
      </c>
    </row>
    <row r="117" spans="1:7" x14ac:dyDescent="0.35">
      <c r="A117" t="s">
        <v>116</v>
      </c>
      <c r="B117">
        <v>192</v>
      </c>
      <c r="C117">
        <v>192</v>
      </c>
      <c r="D117" s="2">
        <v>0.33</v>
      </c>
      <c r="E117" s="3">
        <v>2.9999999999999999E-50</v>
      </c>
      <c r="F117">
        <v>52.63</v>
      </c>
      <c r="G117" t="str">
        <f>HYPERLINK("https://www.ncbi.nlm.nih.gov/nucleotide/XM_007299403.1?report=genbank&amp;log$=nucltop&amp;blast_rank=12&amp;RID=UJKJA9N5013","XM_007299403.1")</f>
        <v>XM_007299403.1</v>
      </c>
    </row>
    <row r="118" spans="1:7" x14ac:dyDescent="0.35">
      <c r="A118" s="4" t="s">
        <v>117</v>
      </c>
      <c r="B118" s="4">
        <v>196</v>
      </c>
      <c r="C118" s="4">
        <v>196</v>
      </c>
      <c r="D118" s="5">
        <v>0.35</v>
      </c>
      <c r="E118" s="6">
        <v>4E-52</v>
      </c>
      <c r="F118" s="4">
        <v>51.89</v>
      </c>
      <c r="G118" s="4" t="str">
        <f>HYPERLINK("https://www.ncbi.nlm.nih.gov/nucleotide/XM_036706625.1?report=genbank&amp;log$=nucltop&amp;blast_rank=13&amp;RID=UJKJA9N5013","XM_036706625.1")</f>
        <v>XM_036706625.1</v>
      </c>
    </row>
    <row r="119" spans="1:7" x14ac:dyDescent="0.35">
      <c r="A119" t="s">
        <v>118</v>
      </c>
      <c r="B119">
        <v>228</v>
      </c>
      <c r="C119">
        <v>228</v>
      </c>
      <c r="D119" s="2">
        <v>0.45</v>
      </c>
      <c r="E119" s="3">
        <v>1.9999999999999999E-64</v>
      </c>
      <c r="F119">
        <v>51.3</v>
      </c>
      <c r="G119" t="str">
        <f>HYPERLINK("https://www.ncbi.nlm.nih.gov/nucleotide/XM_006459160.1?report=genbank&amp;log$=nucltop&amp;blast_rank=14&amp;RID=UJKJA9N5013","XM_006459160.1")</f>
        <v>XM_006459160.1</v>
      </c>
    </row>
    <row r="120" spans="1:7" x14ac:dyDescent="0.35">
      <c r="A120" t="s">
        <v>119</v>
      </c>
      <c r="B120">
        <v>191</v>
      </c>
      <c r="C120">
        <v>191</v>
      </c>
      <c r="D120" s="2">
        <v>0.39</v>
      </c>
      <c r="E120" s="3">
        <v>1.9999999999999999E-48</v>
      </c>
      <c r="F120">
        <v>49.02</v>
      </c>
      <c r="G120" t="str">
        <f>HYPERLINK("https://www.ncbi.nlm.nih.gov/nucleotide/XM_027763465.1?report=genbank&amp;log$=nucltop&amp;blast_rank=15&amp;RID=UJKJA9N5013","XM_027763465.1")</f>
        <v>XM_027763465.1</v>
      </c>
    </row>
    <row r="121" spans="1:7" x14ac:dyDescent="0.35">
      <c r="A121" t="s">
        <v>18</v>
      </c>
      <c r="B121">
        <v>207</v>
      </c>
      <c r="C121">
        <v>207</v>
      </c>
      <c r="D121" s="2">
        <v>0.45</v>
      </c>
      <c r="E121" s="3">
        <v>1E-53</v>
      </c>
      <c r="F121">
        <v>45.04</v>
      </c>
      <c r="G121" t="str">
        <f>HYPERLINK("https://www.ncbi.nlm.nih.gov/nucleotide/CP015474.1?report=genbank&amp;log$=nucltop&amp;blast_rank=16&amp;RID=UJKJA9N5013","CP015474.1")</f>
        <v>CP015474.1</v>
      </c>
    </row>
    <row r="122" spans="1:7" x14ac:dyDescent="0.35">
      <c r="A122" t="s">
        <v>16</v>
      </c>
      <c r="B122">
        <v>207</v>
      </c>
      <c r="C122">
        <v>207</v>
      </c>
      <c r="D122" s="2">
        <v>0.45</v>
      </c>
      <c r="E122" s="3">
        <v>1E-53</v>
      </c>
      <c r="F122">
        <v>45.04</v>
      </c>
      <c r="G122" t="str">
        <f>HYPERLINK("https://www.ncbi.nlm.nih.gov/nucleotide/CP039877.1?report=genbank&amp;log$=nucltop&amp;blast_rank=17&amp;RID=UJKJA9N5013","CP039877.1")</f>
        <v>CP039877.1</v>
      </c>
    </row>
    <row r="123" spans="1:7" x14ac:dyDescent="0.35">
      <c r="A123" t="s">
        <v>17</v>
      </c>
      <c r="B123">
        <v>207</v>
      </c>
      <c r="C123">
        <v>207</v>
      </c>
      <c r="D123" s="2">
        <v>0.45</v>
      </c>
      <c r="E123" s="3">
        <v>2.0000000000000001E-53</v>
      </c>
      <c r="F123">
        <v>45.04</v>
      </c>
      <c r="G123" t="str">
        <f>HYPERLINK("https://www.ncbi.nlm.nih.gov/nucleotide/CP015461.1?report=genbank&amp;log$=nucltop&amp;blast_rank=18&amp;RID=UJKJA9N5013","CP015461.1")</f>
        <v>CP015461.1</v>
      </c>
    </row>
    <row r="124" spans="1:7" x14ac:dyDescent="0.35">
      <c r="A124" t="s">
        <v>120</v>
      </c>
      <c r="B124">
        <v>210</v>
      </c>
      <c r="C124">
        <v>210</v>
      </c>
      <c r="D124" s="2">
        <v>0.49</v>
      </c>
      <c r="E124" s="3">
        <v>9.9999999999999995E-58</v>
      </c>
      <c r="F124">
        <v>44.4</v>
      </c>
      <c r="G124" t="str">
        <f>HYPERLINK("https://www.ncbi.nlm.nih.gov/nucleotide/XM_012325304.1?report=genbank&amp;log$=nucltop&amp;blast_rank=19&amp;RID=UJKJA9N5013","XM_012325304.1")</f>
        <v>XM_012325304.1</v>
      </c>
    </row>
    <row r="125" spans="1:7" x14ac:dyDescent="0.35">
      <c r="A125" t="s">
        <v>121</v>
      </c>
      <c r="B125">
        <v>163</v>
      </c>
      <c r="C125">
        <v>163</v>
      </c>
      <c r="D125" s="2">
        <v>0.33</v>
      </c>
      <c r="E125" s="3">
        <v>6.9999999999999995E-44</v>
      </c>
      <c r="F125">
        <v>44.19</v>
      </c>
      <c r="G125" t="str">
        <f>HYPERLINK("https://www.ncbi.nlm.nih.gov/nucleotide/XM_007263292.1?report=genbank&amp;log$=nucltop&amp;blast_rank=20&amp;RID=UJKJA9N5013","XM_007263292.1")</f>
        <v>XM_007263292.1</v>
      </c>
    </row>
    <row r="126" spans="1:7" x14ac:dyDescent="0.35">
      <c r="A126" t="s">
        <v>122</v>
      </c>
      <c r="B126">
        <v>201</v>
      </c>
      <c r="C126">
        <v>201</v>
      </c>
      <c r="D126" s="2">
        <v>0.49</v>
      </c>
      <c r="E126" s="3">
        <v>5E-53</v>
      </c>
      <c r="F126">
        <v>42.91</v>
      </c>
      <c r="G126" t="str">
        <f>HYPERLINK("https://www.ncbi.nlm.nih.gov/nucleotide/XM_007362291.1?report=genbank&amp;log$=nucltop&amp;blast_rank=21&amp;RID=UJKJA9N5013","XM_007362291.1")</f>
        <v>XM_007362291.1</v>
      </c>
    </row>
    <row r="127" spans="1:7" x14ac:dyDescent="0.35">
      <c r="A127" t="s">
        <v>123</v>
      </c>
      <c r="B127">
        <v>129</v>
      </c>
      <c r="C127">
        <v>129</v>
      </c>
      <c r="D127" s="2">
        <v>0.24</v>
      </c>
      <c r="E127" s="3">
        <v>1E-27</v>
      </c>
      <c r="F127">
        <v>41.78</v>
      </c>
      <c r="G127" t="str">
        <f>HYPERLINK("https://www.ncbi.nlm.nih.gov/nucleotide/XM_025744195.1?report=genbank&amp;log$=nucltop&amp;blast_rank=22&amp;RID=UJKJA9N5013","XM_025744195.1")</f>
        <v>XM_025744195.1</v>
      </c>
    </row>
    <row r="128" spans="1:7" x14ac:dyDescent="0.35">
      <c r="A128" t="s">
        <v>124</v>
      </c>
      <c r="B128">
        <v>124</v>
      </c>
      <c r="C128">
        <v>124</v>
      </c>
      <c r="D128" s="2">
        <v>0.25</v>
      </c>
      <c r="E128" s="3">
        <v>4.0000000000000002E-26</v>
      </c>
      <c r="F128">
        <v>41.61</v>
      </c>
      <c r="G128" t="str">
        <f>HYPERLINK("https://www.ncbi.nlm.nih.gov/nucleotide/XM_013384521.1?report=genbank&amp;log$=nucltop&amp;blast_rank=23&amp;RID=UJKJA9N5013","XM_013384521.1")</f>
        <v>XM_013384521.1</v>
      </c>
    </row>
    <row r="129" spans="1:7" x14ac:dyDescent="0.35">
      <c r="A129" t="s">
        <v>125</v>
      </c>
      <c r="B129">
        <v>100</v>
      </c>
      <c r="C129">
        <v>100</v>
      </c>
      <c r="D129" s="2">
        <v>0.24</v>
      </c>
      <c r="E129" s="3">
        <v>2.9999999999999999E-21</v>
      </c>
      <c r="F129">
        <v>41.6</v>
      </c>
      <c r="G129" t="str">
        <f>HYPERLINK("https://www.ncbi.nlm.nih.gov/nucleotide/XM_019169940.1?report=genbank&amp;log$=nucltop&amp;blast_rank=24&amp;RID=UJKJA9N5013","XM_019169940.1")</f>
        <v>XM_019169940.1</v>
      </c>
    </row>
    <row r="130" spans="1:7" x14ac:dyDescent="0.35">
      <c r="A130" t="s">
        <v>126</v>
      </c>
      <c r="B130">
        <v>136</v>
      </c>
      <c r="C130">
        <v>136</v>
      </c>
      <c r="D130" s="2">
        <v>0.28000000000000003</v>
      </c>
      <c r="E130" s="3">
        <v>4.9999999999999997E-30</v>
      </c>
      <c r="F130">
        <v>41.52</v>
      </c>
      <c r="G130" t="str">
        <f>HYPERLINK("https://www.ncbi.nlm.nih.gov/nucleotide/XM_007769767.1?report=genbank&amp;log$=nucltop&amp;blast_rank=25&amp;RID=UJKJA9N5013","XM_007769767.1")</f>
        <v>XM_007769767.1</v>
      </c>
    </row>
    <row r="131" spans="1:7" x14ac:dyDescent="0.35">
      <c r="A131" t="s">
        <v>127</v>
      </c>
      <c r="B131">
        <v>120</v>
      </c>
      <c r="C131">
        <v>120</v>
      </c>
      <c r="D131" s="2">
        <v>0.26</v>
      </c>
      <c r="E131" s="3">
        <v>4.9999999999999996E-25</v>
      </c>
      <c r="F131">
        <v>41.18</v>
      </c>
      <c r="G131" t="str">
        <f>HYPERLINK("https://www.ncbi.nlm.nih.gov/nucleotide/XM_036711320.1?report=genbank&amp;log$=nucltop&amp;blast_rank=26&amp;RID=UJKJA9N5013","XM_036711320.1")</f>
        <v>XM_036711320.1</v>
      </c>
    </row>
    <row r="132" spans="1:7" x14ac:dyDescent="0.35">
      <c r="A132" t="s">
        <v>128</v>
      </c>
      <c r="B132">
        <v>116</v>
      </c>
      <c r="C132">
        <v>116</v>
      </c>
      <c r="D132" s="2">
        <v>0.25</v>
      </c>
      <c r="E132" s="3">
        <v>7.9999999999999994E-24</v>
      </c>
      <c r="F132">
        <v>40.56</v>
      </c>
      <c r="G132" t="str">
        <f>HYPERLINK("https://www.ncbi.nlm.nih.gov/nucleotide/XM_006958724.1?report=genbank&amp;log$=nucltop&amp;blast_rank=27&amp;RID=UJKJA9N5013","XM_006958724.1")</f>
        <v>XM_006958724.1</v>
      </c>
    </row>
    <row r="133" spans="1:7" x14ac:dyDescent="0.35">
      <c r="A133" t="s">
        <v>129</v>
      </c>
      <c r="B133">
        <v>112</v>
      </c>
      <c r="C133">
        <v>112</v>
      </c>
      <c r="D133" s="2">
        <v>0.3</v>
      </c>
      <c r="E133" s="3">
        <v>7.0000000000000001E-22</v>
      </c>
      <c r="F133">
        <v>40.380000000000003</v>
      </c>
      <c r="G133" t="str">
        <f>HYPERLINK("https://www.ncbi.nlm.nih.gov/nucleotide/XM_001912109.1?report=genbank&amp;log$=nucltop&amp;blast_rank=28&amp;RID=UJKJA9N5013","XM_001912109.1")</f>
        <v>XM_001912109.1</v>
      </c>
    </row>
    <row r="134" spans="1:7" x14ac:dyDescent="0.35">
      <c r="A134" t="s">
        <v>130</v>
      </c>
      <c r="B134">
        <v>109</v>
      </c>
      <c r="C134">
        <v>109</v>
      </c>
      <c r="D134" s="2">
        <v>0.25</v>
      </c>
      <c r="E134" s="3">
        <v>3E-24</v>
      </c>
      <c r="F134">
        <v>40</v>
      </c>
      <c r="G134" t="str">
        <f>HYPERLINK("https://www.ncbi.nlm.nih.gov/nucleotide/XM_018412799.1?report=genbank&amp;log$=nucltop&amp;blast_rank=29&amp;RID=UJKJA9N5013","XM_018412799.1")</f>
        <v>XM_018412799.1</v>
      </c>
    </row>
    <row r="135" spans="1:7" x14ac:dyDescent="0.35">
      <c r="A135" t="s">
        <v>131</v>
      </c>
      <c r="B135">
        <v>115</v>
      </c>
      <c r="C135">
        <v>115</v>
      </c>
      <c r="D135" s="2">
        <v>0.27</v>
      </c>
      <c r="E135" s="3">
        <v>8.9999999999999995E-24</v>
      </c>
      <c r="F135">
        <v>40</v>
      </c>
      <c r="G135" t="str">
        <f>HYPERLINK("https://www.ncbi.nlm.nih.gov/nucleotide/XM_025316520.1?report=genbank&amp;log$=nucltop&amp;blast_rank=30&amp;RID=UJKJA9N5013","XM_025316520.1")</f>
        <v>XM_025316520.1</v>
      </c>
    </row>
    <row r="136" spans="1:7" x14ac:dyDescent="0.35">
      <c r="A136" t="s">
        <v>126</v>
      </c>
      <c r="B136">
        <v>171</v>
      </c>
      <c r="C136">
        <v>171</v>
      </c>
      <c r="D136" s="2">
        <v>0.48</v>
      </c>
      <c r="E136" s="3">
        <v>6.0000000000000005E-42</v>
      </c>
      <c r="F136">
        <v>39.86</v>
      </c>
      <c r="G136" t="str">
        <f>HYPERLINK("https://www.ncbi.nlm.nih.gov/nucleotide/XM_007767799.1?report=genbank&amp;log$=nucltop&amp;blast_rank=31&amp;RID=UJKJA9N5013","XM_007767799.1")</f>
        <v>XM_007767799.1</v>
      </c>
    </row>
    <row r="137" spans="1:7" x14ac:dyDescent="0.35">
      <c r="A137" t="s">
        <v>132</v>
      </c>
      <c r="B137">
        <v>116</v>
      </c>
      <c r="C137">
        <v>116</v>
      </c>
      <c r="D137" s="2">
        <v>0.25</v>
      </c>
      <c r="E137" s="3">
        <v>9.9999999999999996E-24</v>
      </c>
      <c r="F137">
        <v>39.6</v>
      </c>
      <c r="G137" t="str">
        <f>HYPERLINK("https://www.ncbi.nlm.nih.gov/nucleotide/XM_009267583.1?report=genbank&amp;log$=nucltop&amp;blast_rank=32&amp;RID=UJKJA9N5013","XM_009267583.1")</f>
        <v>XM_009267583.1</v>
      </c>
    </row>
    <row r="138" spans="1:7" x14ac:dyDescent="0.35">
      <c r="A138" t="s">
        <v>133</v>
      </c>
      <c r="B138">
        <v>101</v>
      </c>
      <c r="C138">
        <v>101</v>
      </c>
      <c r="D138" s="2">
        <v>0.27</v>
      </c>
      <c r="E138" s="3">
        <v>2.0000000000000001E-18</v>
      </c>
      <c r="F138">
        <v>39.29</v>
      </c>
      <c r="G138" t="str">
        <f>HYPERLINK("https://www.ncbi.nlm.nih.gov/nucleotide/XM_003349166.1?report=genbank&amp;log$=nucltop&amp;blast_rank=33&amp;RID=UJKJA9N5013","XM_003349166.1")</f>
        <v>XM_003349166.1</v>
      </c>
    </row>
    <row r="139" spans="1:7" x14ac:dyDescent="0.35">
      <c r="A139" t="s">
        <v>134</v>
      </c>
      <c r="B139">
        <v>102</v>
      </c>
      <c r="C139">
        <v>102</v>
      </c>
      <c r="D139" s="2">
        <v>0.26</v>
      </c>
      <c r="E139" s="3">
        <v>1.0000000000000001E-18</v>
      </c>
      <c r="F139">
        <v>38.97</v>
      </c>
      <c r="G139" t="str">
        <f>HYPERLINK("https://www.ncbi.nlm.nih.gov/nucleotide/XM_035462003.1?report=genbank&amp;log$=nucltop&amp;blast_rank=34&amp;RID=UJKJA9N5013","XM_035462003.1")</f>
        <v>XM_035462003.1</v>
      </c>
    </row>
    <row r="140" spans="1:7" x14ac:dyDescent="0.35">
      <c r="A140" t="s">
        <v>135</v>
      </c>
      <c r="B140">
        <v>103</v>
      </c>
      <c r="C140">
        <v>103</v>
      </c>
      <c r="D140" s="2">
        <v>0.26</v>
      </c>
      <c r="E140" s="3">
        <v>2.9999999999999999E-19</v>
      </c>
      <c r="F140">
        <v>38.69</v>
      </c>
      <c r="G140" t="str">
        <f>HYPERLINK("https://www.ncbi.nlm.nih.gov/nucleotide/XM_007731990.1?report=genbank&amp;log$=nucltop&amp;blast_rank=35&amp;RID=UJKJA9N5013","XM_007731990.1")</f>
        <v>XM_007731990.1</v>
      </c>
    </row>
    <row r="141" spans="1:7" x14ac:dyDescent="0.35">
      <c r="A141" t="s">
        <v>136</v>
      </c>
      <c r="B141">
        <v>118</v>
      </c>
      <c r="C141">
        <v>118</v>
      </c>
      <c r="D141" s="2">
        <v>0.25</v>
      </c>
      <c r="E141" s="3">
        <v>3.9999999999999997E-24</v>
      </c>
      <c r="F141">
        <v>38.36</v>
      </c>
      <c r="G141" t="str">
        <f>HYPERLINK("https://www.ncbi.nlm.nih.gov/nucleotide/XM_024479541.1?report=genbank&amp;log$=nucltop&amp;blast_rank=36&amp;RID=UJKJA9N5013","XM_024479541.1")</f>
        <v>XM_024479541.1</v>
      </c>
    </row>
    <row r="142" spans="1:7" x14ac:dyDescent="0.35">
      <c r="A142" t="s">
        <v>113</v>
      </c>
      <c r="B142">
        <v>122</v>
      </c>
      <c r="C142">
        <v>122</v>
      </c>
      <c r="D142" s="2">
        <v>0.26</v>
      </c>
      <c r="E142" s="3">
        <v>2.9999999999999998E-25</v>
      </c>
      <c r="F142">
        <v>38.270000000000003</v>
      </c>
      <c r="G142" t="str">
        <f>HYPERLINK("https://www.ncbi.nlm.nih.gov/nucleotide/XM_008037398.1?report=genbank&amp;log$=nucltop&amp;blast_rank=37&amp;RID=UJKJA9N5013","XM_008037398.1")</f>
        <v>XM_008037398.1</v>
      </c>
    </row>
    <row r="143" spans="1:7" x14ac:dyDescent="0.35">
      <c r="A143" t="s">
        <v>137</v>
      </c>
      <c r="B143">
        <v>242</v>
      </c>
      <c r="C143">
        <v>242</v>
      </c>
      <c r="D143" s="2">
        <v>0.87</v>
      </c>
      <c r="E143" s="3">
        <v>9.9999999999999996E-70</v>
      </c>
      <c r="F143">
        <v>38.01</v>
      </c>
      <c r="G143" t="str">
        <f>HYPERLINK("https://www.ncbi.nlm.nih.gov/nucleotide/XM_001836370.2?report=genbank&amp;log$=nucltop&amp;blast_rank=38&amp;RID=UJKJA9N5013","XM_001836370.2")</f>
        <v>XM_001836370.2</v>
      </c>
    </row>
    <row r="144" spans="1:7" x14ac:dyDescent="0.35">
      <c r="A144" t="s">
        <v>138</v>
      </c>
      <c r="B144">
        <v>103</v>
      </c>
      <c r="C144">
        <v>103</v>
      </c>
      <c r="D144" s="2">
        <v>0.26</v>
      </c>
      <c r="E144" s="3">
        <v>3.9999999999999999E-19</v>
      </c>
      <c r="F144">
        <v>37.96</v>
      </c>
      <c r="G144" t="str">
        <f>HYPERLINK("https://www.ncbi.nlm.nih.gov/nucleotide/XM_018833109.1?report=genbank&amp;log$=nucltop&amp;blast_rank=39&amp;RID=UJKJA9N5013","XM_018833109.1")</f>
        <v>XM_018833109.1</v>
      </c>
    </row>
    <row r="145" spans="1:7" x14ac:dyDescent="0.35">
      <c r="A145" t="s">
        <v>139</v>
      </c>
      <c r="B145">
        <v>100</v>
      </c>
      <c r="C145">
        <v>100</v>
      </c>
      <c r="D145" s="2">
        <v>0.26</v>
      </c>
      <c r="E145" s="3">
        <v>2.9999999999999998E-18</v>
      </c>
      <c r="F145">
        <v>37.68</v>
      </c>
      <c r="G145" t="str">
        <f>HYPERLINK("https://www.ncbi.nlm.nih.gov/nucleotide/XM_016364210.1?report=genbank&amp;log$=nucltop&amp;blast_rank=40&amp;RID=UJKJA9N5013","XM_016364210.1")</f>
        <v>XM_016364210.1</v>
      </c>
    </row>
    <row r="146" spans="1:7" x14ac:dyDescent="0.35">
      <c r="A146" t="s">
        <v>140</v>
      </c>
      <c r="B146">
        <v>117</v>
      </c>
      <c r="C146">
        <v>117</v>
      </c>
      <c r="D146" s="2">
        <v>0.26</v>
      </c>
      <c r="E146" s="3">
        <v>8.0000000000000003E-25</v>
      </c>
      <c r="F146">
        <v>37.659999999999997</v>
      </c>
      <c r="G146" t="str">
        <f>HYPERLINK("https://www.ncbi.nlm.nih.gov/nucleotide/XM_007407307.1?report=genbank&amp;log$=nucltop&amp;blast_rank=41&amp;RID=UJKJA9N5013","XM_007407307.1")</f>
        <v>XM_007407307.1</v>
      </c>
    </row>
    <row r="147" spans="1:7" x14ac:dyDescent="0.35">
      <c r="A147" t="s">
        <v>141</v>
      </c>
      <c r="B147">
        <v>108</v>
      </c>
      <c r="C147">
        <v>108</v>
      </c>
      <c r="D147" s="2">
        <v>0.32</v>
      </c>
      <c r="E147" s="3">
        <v>8.9999999999999994E-21</v>
      </c>
      <c r="F147">
        <v>37.65</v>
      </c>
      <c r="G147" t="str">
        <f>HYPERLINK("https://www.ncbi.nlm.nih.gov/nucleotide/XM_001224600.1?report=genbank&amp;log$=nucltop&amp;blast_rank=42&amp;RID=UJKJA9N5013","XM_001224600.1")</f>
        <v>XM_001224600.1</v>
      </c>
    </row>
    <row r="148" spans="1:7" x14ac:dyDescent="0.35">
      <c r="A148" t="s">
        <v>142</v>
      </c>
      <c r="B148">
        <v>104</v>
      </c>
      <c r="C148">
        <v>104</v>
      </c>
      <c r="D148" s="2">
        <v>0.27</v>
      </c>
      <c r="E148" s="3">
        <v>2E-19</v>
      </c>
      <c r="F148">
        <v>37.32</v>
      </c>
      <c r="G148" t="str">
        <f>HYPERLINK("https://www.ncbi.nlm.nih.gov/nucleotide/XM_013412294.1?report=genbank&amp;log$=nucltop&amp;blast_rank=43&amp;RID=UJKJA9N5013","XM_013412294.1")</f>
        <v>XM_013412294.1</v>
      </c>
    </row>
    <row r="149" spans="1:7" x14ac:dyDescent="0.35">
      <c r="A149" t="s">
        <v>143</v>
      </c>
      <c r="B149">
        <v>102</v>
      </c>
      <c r="C149">
        <v>102</v>
      </c>
      <c r="D149" s="2">
        <v>0.27</v>
      </c>
      <c r="E149" s="3">
        <v>7.0000000000000003E-19</v>
      </c>
      <c r="F149">
        <v>37.32</v>
      </c>
      <c r="G149" t="str">
        <f>HYPERLINK("https://www.ncbi.nlm.nih.gov/nucleotide/XM_031128085.1?report=genbank&amp;log$=nucltop&amp;blast_rank=44&amp;RID=UJKJA9N5013","XM_031128085.1")</f>
        <v>XM_031128085.1</v>
      </c>
    </row>
    <row r="150" spans="1:7" x14ac:dyDescent="0.35">
      <c r="A150" t="s">
        <v>144</v>
      </c>
      <c r="B150">
        <v>101</v>
      </c>
      <c r="C150">
        <v>101</v>
      </c>
      <c r="D150" s="2">
        <v>0.27</v>
      </c>
      <c r="E150" s="3">
        <v>1.0000000000000001E-18</v>
      </c>
      <c r="F150">
        <v>37.32</v>
      </c>
      <c r="G150" t="str">
        <f>HYPERLINK("https://www.ncbi.nlm.nih.gov/nucleotide/XM_029895118.1?report=genbank&amp;log$=nucltop&amp;blast_rank=45&amp;RID=UJKJA9N5013","XM_029895118.1")</f>
        <v>XM_029895118.1</v>
      </c>
    </row>
    <row r="151" spans="1:7" x14ac:dyDescent="0.35">
      <c r="A151" t="s">
        <v>145</v>
      </c>
      <c r="B151">
        <v>101</v>
      </c>
      <c r="C151">
        <v>101</v>
      </c>
      <c r="D151" s="2">
        <v>0.27</v>
      </c>
      <c r="E151" s="3">
        <v>2.0000000000000001E-18</v>
      </c>
      <c r="F151">
        <v>37.32</v>
      </c>
      <c r="G151" t="str">
        <f>HYPERLINK("https://www.ncbi.nlm.nih.gov/nucleotide/XM_003717725.1?report=genbank&amp;log$=nucltop&amp;blast_rank=46&amp;RID=UJKJA9N5013","XM_003717725.1")</f>
        <v>XM_003717725.1</v>
      </c>
    </row>
    <row r="152" spans="1:7" x14ac:dyDescent="0.35">
      <c r="A152" t="s">
        <v>146</v>
      </c>
      <c r="B152">
        <v>105</v>
      </c>
      <c r="C152">
        <v>105</v>
      </c>
      <c r="D152" s="2">
        <v>0.26</v>
      </c>
      <c r="E152" s="3">
        <v>9.9999999999999998E-20</v>
      </c>
      <c r="F152">
        <v>37.229999999999997</v>
      </c>
      <c r="G152" t="str">
        <f>HYPERLINK("https://www.ncbi.nlm.nih.gov/nucleotide/XM_016394547.1?report=genbank&amp;log$=nucltop&amp;blast_rank=47&amp;RID=UJKJA9N5013","XM_016394547.1")</f>
        <v>XM_016394547.1</v>
      </c>
    </row>
    <row r="153" spans="1:7" x14ac:dyDescent="0.35">
      <c r="A153" t="s">
        <v>147</v>
      </c>
      <c r="B153">
        <v>102</v>
      </c>
      <c r="C153">
        <v>102</v>
      </c>
      <c r="D153" s="2">
        <v>0.26</v>
      </c>
      <c r="E153" s="3">
        <v>1.0000000000000001E-18</v>
      </c>
      <c r="F153">
        <v>37.229999999999997</v>
      </c>
      <c r="G153" t="str">
        <f>HYPERLINK("https://www.ncbi.nlm.nih.gov/nucleotide/XM_007744248.1?report=genbank&amp;log$=nucltop&amp;blast_rank=48&amp;RID=UJKJA9N5013","XM_007744248.1")</f>
        <v>XM_007744248.1</v>
      </c>
    </row>
    <row r="154" spans="1:7" x14ac:dyDescent="0.35">
      <c r="A154" t="s">
        <v>148</v>
      </c>
      <c r="B154">
        <v>101</v>
      </c>
      <c r="C154">
        <v>101</v>
      </c>
      <c r="D154" s="2">
        <v>0.26</v>
      </c>
      <c r="E154" s="3">
        <v>2.0000000000000001E-18</v>
      </c>
      <c r="F154">
        <v>37.229999999999997</v>
      </c>
      <c r="G154" t="str">
        <f>HYPERLINK("https://www.ncbi.nlm.nih.gov/nucleotide/XM_016767487.1?report=genbank&amp;log$=nucltop&amp;blast_rank=49&amp;RID=UJKJA9N5013","XM_016767487.1")</f>
        <v>XM_016767487.1</v>
      </c>
    </row>
    <row r="155" spans="1:7" x14ac:dyDescent="0.35">
      <c r="A155" t="s">
        <v>149</v>
      </c>
      <c r="B155">
        <v>99.4</v>
      </c>
      <c r="C155">
        <v>99.4</v>
      </c>
      <c r="D155" s="2">
        <v>0.32</v>
      </c>
      <c r="E155" s="3">
        <v>2.9999999999999999E-19</v>
      </c>
      <c r="F155">
        <v>37.14</v>
      </c>
      <c r="G155" t="str">
        <f>HYPERLINK("https://www.ncbi.nlm.nih.gov/nucleotide/XM_033675412.1?report=genbank&amp;log$=nucltop&amp;blast_rank=50&amp;RID=UJKJA9N5013","XM_033675412.1")</f>
        <v>XM_033675412.1</v>
      </c>
    </row>
    <row r="156" spans="1:7" x14ac:dyDescent="0.35">
      <c r="A156" t="s">
        <v>150</v>
      </c>
      <c r="B156">
        <v>105</v>
      </c>
      <c r="C156">
        <v>105</v>
      </c>
      <c r="D156" s="2">
        <v>0.32</v>
      </c>
      <c r="E156" s="3">
        <v>7.9999999999999996E-20</v>
      </c>
      <c r="F156">
        <v>36.99</v>
      </c>
      <c r="G156" t="str">
        <f>HYPERLINK("https://www.ncbi.nlm.nih.gov/nucleotide/XM_033687745.1?report=genbank&amp;log$=nucltop&amp;blast_rank=51&amp;RID=UJKJA9N5013","XM_033687745.1")</f>
        <v>XM_033687745.1</v>
      </c>
    </row>
    <row r="157" spans="1:7" x14ac:dyDescent="0.35">
      <c r="A157" t="s">
        <v>151</v>
      </c>
      <c r="B157">
        <v>109</v>
      </c>
      <c r="C157">
        <v>109</v>
      </c>
      <c r="D157" s="2">
        <v>0.32</v>
      </c>
      <c r="E157" s="3">
        <v>3.9999999999999996E-21</v>
      </c>
      <c r="F157">
        <v>36.75</v>
      </c>
      <c r="G157" t="str">
        <f>HYPERLINK("https://www.ncbi.nlm.nih.gov/nucleotide/XM_031136412.1?report=genbank&amp;log$=nucltop&amp;blast_rank=52&amp;RID=UJKJA9N5013","XM_031136412.1")</f>
        <v>XM_031136412.1</v>
      </c>
    </row>
    <row r="158" spans="1:7" x14ac:dyDescent="0.35">
      <c r="A158" t="s">
        <v>152</v>
      </c>
      <c r="B158">
        <v>101</v>
      </c>
      <c r="C158">
        <v>101</v>
      </c>
      <c r="D158" s="2">
        <v>0.27</v>
      </c>
      <c r="E158" s="3">
        <v>2.0000000000000001E-18</v>
      </c>
      <c r="F158">
        <v>36.69</v>
      </c>
      <c r="G158" t="str">
        <f>HYPERLINK("https://www.ncbi.nlm.nih.gov/nucleotide/XM_013466482.1?report=genbank&amp;log$=nucltop&amp;blast_rank=53&amp;RID=UJKJA9N5013","XM_013466482.1")</f>
        <v>XM_013466482.1</v>
      </c>
    </row>
    <row r="159" spans="1:7" x14ac:dyDescent="0.35">
      <c r="A159" t="s">
        <v>153</v>
      </c>
      <c r="B159">
        <v>120</v>
      </c>
      <c r="C159">
        <v>120</v>
      </c>
      <c r="D159" s="2">
        <v>0.25</v>
      </c>
      <c r="E159" s="3">
        <v>1.9999999999999998E-24</v>
      </c>
      <c r="F159">
        <v>36.6</v>
      </c>
      <c r="G159" t="str">
        <f>HYPERLINK("https://www.ncbi.nlm.nih.gov/nucleotide/LT795076.1?report=genbank&amp;log$=nucltop&amp;blast_rank=54&amp;RID=UJKJA9N5013","LT795076.1")</f>
        <v>LT795076.1</v>
      </c>
    </row>
    <row r="160" spans="1:7" x14ac:dyDescent="0.35">
      <c r="A160" t="s">
        <v>154</v>
      </c>
      <c r="B160">
        <v>120</v>
      </c>
      <c r="C160">
        <v>120</v>
      </c>
      <c r="D160" s="2">
        <v>0.25</v>
      </c>
      <c r="E160" s="3">
        <v>3E-24</v>
      </c>
      <c r="F160">
        <v>36.6</v>
      </c>
      <c r="G160" t="str">
        <f>HYPERLINK("https://www.ncbi.nlm.nih.gov/nucleotide/FQ311445.1?report=genbank&amp;log$=nucltop&amp;blast_rank=55&amp;RID=UJKJA9N5013","FQ311445.1")</f>
        <v>FQ311445.1</v>
      </c>
    </row>
    <row r="161" spans="1:7" x14ac:dyDescent="0.35">
      <c r="A161" t="s">
        <v>155</v>
      </c>
      <c r="B161">
        <v>103</v>
      </c>
      <c r="C161">
        <v>103</v>
      </c>
      <c r="D161" s="2">
        <v>0.32</v>
      </c>
      <c r="E161" s="3">
        <v>2E-19</v>
      </c>
      <c r="F161">
        <v>36.57</v>
      </c>
      <c r="G161" t="str">
        <f>HYPERLINK("https://www.ncbi.nlm.nih.gov/nucleotide/XM_022639301.1?report=genbank&amp;log$=nucltop&amp;blast_rank=56&amp;RID=UJKJA9N5013","XM_022639301.1")</f>
        <v>XM_022639301.1</v>
      </c>
    </row>
    <row r="162" spans="1:7" x14ac:dyDescent="0.35">
      <c r="A162" t="s">
        <v>156</v>
      </c>
      <c r="B162">
        <v>103</v>
      </c>
      <c r="C162">
        <v>103</v>
      </c>
      <c r="D162" s="2">
        <v>0.32</v>
      </c>
      <c r="E162" s="3">
        <v>3.9999999999999999E-19</v>
      </c>
      <c r="F162">
        <v>36.57</v>
      </c>
      <c r="G162" t="str">
        <f>HYPERLINK("https://www.ncbi.nlm.nih.gov/nucleotide/XM_013424715.1?report=genbank&amp;log$=nucltop&amp;blast_rank=57&amp;RID=UJKJA9N5013","XM_013424715.1")</f>
        <v>XM_013424715.1</v>
      </c>
    </row>
    <row r="163" spans="1:7" x14ac:dyDescent="0.35">
      <c r="A163" t="s">
        <v>157</v>
      </c>
      <c r="B163">
        <v>119</v>
      </c>
      <c r="C163">
        <v>119</v>
      </c>
      <c r="D163" s="2">
        <v>0.26</v>
      </c>
      <c r="E163" s="3">
        <v>1.9999999999999998E-24</v>
      </c>
      <c r="F163">
        <v>36.479999999999997</v>
      </c>
      <c r="G163" t="str">
        <f>HYPERLINK("https://www.ncbi.nlm.nih.gov/nucleotide/XM_006460100.1?report=genbank&amp;log$=nucltop&amp;blast_rank=58&amp;RID=UJKJA9N5013","XM_006460100.1")</f>
        <v>XM_006460100.1</v>
      </c>
    </row>
    <row r="164" spans="1:7" x14ac:dyDescent="0.35">
      <c r="A164" t="s">
        <v>158</v>
      </c>
      <c r="B164">
        <v>118</v>
      </c>
      <c r="C164">
        <v>118</v>
      </c>
      <c r="D164" s="2">
        <v>0.26</v>
      </c>
      <c r="E164" s="3">
        <v>3E-24</v>
      </c>
      <c r="F164">
        <v>36.479999999999997</v>
      </c>
      <c r="G164" t="str">
        <f>HYPERLINK("https://www.ncbi.nlm.nih.gov/nucleotide/XM_007329370.1?report=genbank&amp;log$=nucltop&amp;blast_rank=59&amp;RID=UJKJA9N5013","XM_007329370.1")</f>
        <v>XM_007329370.1</v>
      </c>
    </row>
    <row r="165" spans="1:7" x14ac:dyDescent="0.35">
      <c r="A165" t="s">
        <v>159</v>
      </c>
      <c r="B165">
        <v>121</v>
      </c>
      <c r="C165">
        <v>121</v>
      </c>
      <c r="D165" s="2">
        <v>0.27</v>
      </c>
      <c r="E165" s="3">
        <v>4.9999999999999996E-25</v>
      </c>
      <c r="F165">
        <v>36.090000000000003</v>
      </c>
      <c r="G165" t="str">
        <f>HYPERLINK("https://www.ncbi.nlm.nih.gov/nucleotide/XM_007364265.1?report=genbank&amp;log$=nucltop&amp;blast_rank=60&amp;RID=UJKJA9N5013","XM_007364265.1")</f>
        <v>XM_007364265.1</v>
      </c>
    </row>
    <row r="166" spans="1:7" x14ac:dyDescent="0.35">
      <c r="A166" t="s">
        <v>160</v>
      </c>
      <c r="B166">
        <v>101</v>
      </c>
      <c r="C166">
        <v>101</v>
      </c>
      <c r="D166" s="2">
        <v>0.31</v>
      </c>
      <c r="E166" s="3">
        <v>1.0000000000000001E-18</v>
      </c>
      <c r="F166">
        <v>36.090000000000003</v>
      </c>
      <c r="G166" t="str">
        <f>HYPERLINK("https://www.ncbi.nlm.nih.gov/nucleotide/XM_011396471.1?report=genbank&amp;log$=nucltop&amp;blast_rank=61&amp;RID=UJKJA9N5013","XM_011396471.1")</f>
        <v>XM_011396471.1</v>
      </c>
    </row>
    <row r="167" spans="1:7" x14ac:dyDescent="0.35">
      <c r="A167" t="s">
        <v>161</v>
      </c>
      <c r="B167">
        <v>101</v>
      </c>
      <c r="C167">
        <v>101</v>
      </c>
      <c r="D167" s="2">
        <v>0.31</v>
      </c>
      <c r="E167" s="3">
        <v>1.0000000000000001E-18</v>
      </c>
      <c r="F167">
        <v>36.090000000000003</v>
      </c>
      <c r="G167" t="str">
        <f>HYPERLINK("https://www.ncbi.nlm.nih.gov/nucleotide/XM_011396472.1?report=genbank&amp;log$=nucltop&amp;blast_rank=62&amp;RID=UJKJA9N5013","XM_011396472.1")</f>
        <v>XM_011396472.1</v>
      </c>
    </row>
    <row r="168" spans="1:7" x14ac:dyDescent="0.35">
      <c r="A168" t="s">
        <v>162</v>
      </c>
      <c r="B168">
        <v>103</v>
      </c>
      <c r="C168">
        <v>103</v>
      </c>
      <c r="D168" s="2">
        <v>0.26</v>
      </c>
      <c r="E168" s="3">
        <v>3.9999999999999999E-19</v>
      </c>
      <c r="F168">
        <v>36.03</v>
      </c>
      <c r="G168" t="str">
        <f>HYPERLINK("https://www.ncbi.nlm.nih.gov/nucleotide/XM_033735511.1?report=genbank&amp;log$=nucltop&amp;blast_rank=63&amp;RID=UJKJA9N5013","XM_033735511.1")</f>
        <v>XM_033735511.1</v>
      </c>
    </row>
    <row r="169" spans="1:7" x14ac:dyDescent="0.35">
      <c r="A169" t="s">
        <v>120</v>
      </c>
      <c r="B169">
        <v>119</v>
      </c>
      <c r="C169">
        <v>119</v>
      </c>
      <c r="D169" s="2">
        <v>0.26</v>
      </c>
      <c r="E169" s="3">
        <v>3E-24</v>
      </c>
      <c r="F169">
        <v>36.020000000000003</v>
      </c>
      <c r="G169" t="str">
        <f>HYPERLINK("https://www.ncbi.nlm.nih.gov/nucleotide/XM_012325595.1?report=genbank&amp;log$=nucltop&amp;blast_rank=64&amp;RID=UJKJA9N5013","XM_012325595.1")</f>
        <v>XM_012325595.1</v>
      </c>
    </row>
    <row r="170" spans="1:7" x14ac:dyDescent="0.35">
      <c r="A170" t="s">
        <v>163</v>
      </c>
      <c r="B170">
        <v>114</v>
      </c>
      <c r="C170">
        <v>114</v>
      </c>
      <c r="D170" s="2">
        <v>0.36</v>
      </c>
      <c r="E170" s="3">
        <v>1E-22</v>
      </c>
      <c r="F170">
        <v>36.020000000000003</v>
      </c>
      <c r="G170" t="str">
        <f>HYPERLINK("https://www.ncbi.nlm.nih.gov/nucleotide/XM_016416769.1?report=genbank&amp;log$=nucltop&amp;blast_rank=65&amp;RID=UJKJA9N5013","XM_016416769.1")</f>
        <v>XM_016416769.1</v>
      </c>
    </row>
    <row r="171" spans="1:7" x14ac:dyDescent="0.35">
      <c r="A171" t="s">
        <v>164</v>
      </c>
      <c r="B171">
        <v>103</v>
      </c>
      <c r="C171">
        <v>103</v>
      </c>
      <c r="D171" s="2">
        <v>0.32</v>
      </c>
      <c r="E171" s="3">
        <v>2.9999999999999999E-19</v>
      </c>
      <c r="F171">
        <v>36</v>
      </c>
      <c r="G171" t="str">
        <f>HYPERLINK("https://www.ncbi.nlm.nih.gov/nucleotide/XM_009161017.1?report=genbank&amp;log$=nucltop&amp;blast_rank=66&amp;RID=UJKJA9N5013","XM_009161017.1")</f>
        <v>XM_009161017.1</v>
      </c>
    </row>
    <row r="172" spans="1:7" x14ac:dyDescent="0.35">
      <c r="A172" t="s">
        <v>165</v>
      </c>
      <c r="B172">
        <v>117</v>
      </c>
      <c r="C172">
        <v>117</v>
      </c>
      <c r="D172" s="2">
        <v>0.25</v>
      </c>
      <c r="E172" s="3">
        <v>8.9999999999999995E-24</v>
      </c>
      <c r="F172">
        <v>35.9</v>
      </c>
      <c r="G172" t="str">
        <f>HYPERLINK("https://www.ncbi.nlm.nih.gov/nucleotide/XM_014798439.1?report=genbank&amp;log$=nucltop&amp;blast_rank=67&amp;RID=UJKJA9N5013","XM_014798439.1")</f>
        <v>XM_014798439.1</v>
      </c>
    </row>
    <row r="173" spans="1:7" x14ac:dyDescent="0.35">
      <c r="A173" t="s">
        <v>166</v>
      </c>
      <c r="B173">
        <v>117</v>
      </c>
      <c r="C173">
        <v>117</v>
      </c>
      <c r="D173" s="2">
        <v>0.25</v>
      </c>
      <c r="E173" s="3">
        <v>9.9999999999999996E-24</v>
      </c>
      <c r="F173">
        <v>35.9</v>
      </c>
      <c r="G173" t="str">
        <f>HYPERLINK("https://www.ncbi.nlm.nih.gov/nucleotide/CP060305.1?report=genbank&amp;log$=nucltop&amp;blast_rank=68&amp;RID=UJKJA9N5013","CP060305.1")</f>
        <v>CP060305.1</v>
      </c>
    </row>
    <row r="174" spans="1:7" x14ac:dyDescent="0.35">
      <c r="A174" t="s">
        <v>167</v>
      </c>
      <c r="B174">
        <v>105</v>
      </c>
      <c r="C174">
        <v>105</v>
      </c>
      <c r="D174" s="2">
        <v>0.32</v>
      </c>
      <c r="E174" s="3">
        <v>6.0000000000000006E-20</v>
      </c>
      <c r="F174">
        <v>35.880000000000003</v>
      </c>
      <c r="G174" t="str">
        <f>HYPERLINK("https://www.ncbi.nlm.nih.gov/nucleotide/XM_007682126.1?report=genbank&amp;log$=nucltop&amp;blast_rank=69&amp;RID=UJKJA9N5013","XM_007682126.1")</f>
        <v>XM_007682126.1</v>
      </c>
    </row>
    <row r="175" spans="1:7" x14ac:dyDescent="0.35">
      <c r="A175" t="s">
        <v>168</v>
      </c>
      <c r="B175">
        <v>107</v>
      </c>
      <c r="C175">
        <v>107</v>
      </c>
      <c r="D175" s="2">
        <v>0.32</v>
      </c>
      <c r="E175" s="3">
        <v>1.9999999999999999E-20</v>
      </c>
      <c r="F175">
        <v>35.840000000000003</v>
      </c>
      <c r="G175" t="str">
        <f>HYPERLINK("https://www.ncbi.nlm.nih.gov/nucleotide/XM_033727516.1?report=genbank&amp;log$=nucltop&amp;blast_rank=70&amp;RID=UJKJA9N5013","XM_033727516.1")</f>
        <v>XM_033727516.1</v>
      </c>
    </row>
    <row r="176" spans="1:7" x14ac:dyDescent="0.35">
      <c r="A176" t="s">
        <v>169</v>
      </c>
      <c r="B176">
        <v>115</v>
      </c>
      <c r="C176">
        <v>115</v>
      </c>
      <c r="D176" s="2">
        <v>0.25</v>
      </c>
      <c r="E176" s="3">
        <v>3E-23</v>
      </c>
      <c r="F176">
        <v>35.799999999999997</v>
      </c>
      <c r="G176" t="str">
        <f>HYPERLINK("https://www.ncbi.nlm.nih.gov/nucleotide/XM_007381794.1?report=genbank&amp;log$=nucltop&amp;blast_rank=71&amp;RID=UJKJA9N5013","XM_007381794.1")</f>
        <v>XM_007381794.1</v>
      </c>
    </row>
    <row r="177" spans="1:7" x14ac:dyDescent="0.35">
      <c r="A177" t="s">
        <v>109</v>
      </c>
      <c r="B177">
        <v>115</v>
      </c>
      <c r="C177">
        <v>115</v>
      </c>
      <c r="D177" s="2">
        <v>0.25</v>
      </c>
      <c r="E177" s="3">
        <v>3E-23</v>
      </c>
      <c r="F177">
        <v>35.71</v>
      </c>
      <c r="G177" t="str">
        <f>HYPERLINK("https://www.ncbi.nlm.nih.gov/nucleotide/XM_007864340.1?report=genbank&amp;log$=nucltop&amp;blast_rank=72&amp;RID=UJKJA9N5013","XM_007864340.1")</f>
        <v>XM_007864340.1</v>
      </c>
    </row>
    <row r="178" spans="1:7" x14ac:dyDescent="0.35">
      <c r="A178" t="s">
        <v>170</v>
      </c>
      <c r="B178">
        <v>117</v>
      </c>
      <c r="C178">
        <v>117</v>
      </c>
      <c r="D178" s="2">
        <v>0.25</v>
      </c>
      <c r="E178" s="3">
        <v>5.9999999999999999E-24</v>
      </c>
      <c r="F178">
        <v>35.619999999999997</v>
      </c>
      <c r="G178" t="str">
        <f>HYPERLINK("https://www.ncbi.nlm.nih.gov/nucleotide/XM_012333207.1?report=genbank&amp;log$=nucltop&amp;blast_rank=73&amp;RID=UJKJA9N5013","XM_012333207.1")</f>
        <v>XM_012333207.1</v>
      </c>
    </row>
    <row r="179" spans="1:7" x14ac:dyDescent="0.35">
      <c r="A179" t="s">
        <v>171</v>
      </c>
      <c r="B179">
        <v>113</v>
      </c>
      <c r="C179">
        <v>113</v>
      </c>
      <c r="D179" s="2">
        <v>0.24</v>
      </c>
      <c r="E179" s="3">
        <v>1E-22</v>
      </c>
      <c r="F179">
        <v>35.53</v>
      </c>
      <c r="G179" t="str">
        <f>HYPERLINK("https://www.ncbi.nlm.nih.gov/nucleotide/XM_036774740.1?report=genbank&amp;log$=nucltop&amp;blast_rank=74&amp;RID=UJKJA9N5013","XM_036774740.1")</f>
        <v>XM_036774740.1</v>
      </c>
    </row>
    <row r="180" spans="1:7" x14ac:dyDescent="0.35">
      <c r="A180" t="s">
        <v>172</v>
      </c>
      <c r="B180">
        <v>117</v>
      </c>
      <c r="C180">
        <v>117</v>
      </c>
      <c r="D180" s="2">
        <v>0.25</v>
      </c>
      <c r="E180" s="3">
        <v>1.9999999999999999E-23</v>
      </c>
      <c r="F180">
        <v>35.44</v>
      </c>
      <c r="G180" t="str">
        <f>HYPERLINK("https://www.ncbi.nlm.nih.gov/nucleotide/LK056654.1?report=genbank&amp;log$=nucltop&amp;blast_rank=75&amp;RID=UJKJA9N5013","LK056654.1")</f>
        <v>LK056654.1</v>
      </c>
    </row>
    <row r="181" spans="1:7" x14ac:dyDescent="0.35">
      <c r="A181" t="s">
        <v>173</v>
      </c>
      <c r="B181">
        <v>117</v>
      </c>
      <c r="C181">
        <v>117</v>
      </c>
      <c r="D181" s="2">
        <v>0.25</v>
      </c>
      <c r="E181" s="3">
        <v>1.9999999999999999E-23</v>
      </c>
      <c r="F181">
        <v>35.44</v>
      </c>
      <c r="G181" t="str">
        <f>HYPERLINK("https://www.ncbi.nlm.nih.gov/nucleotide/CP010920.1?report=genbank&amp;log$=nucltop&amp;blast_rank=76&amp;RID=UJKJA9N5013","CP010920.1")</f>
        <v>CP010920.1</v>
      </c>
    </row>
    <row r="182" spans="1:7" x14ac:dyDescent="0.35">
      <c r="A182" t="s">
        <v>174</v>
      </c>
      <c r="B182">
        <v>104</v>
      </c>
      <c r="C182">
        <v>104</v>
      </c>
      <c r="D182" s="2">
        <v>0.32</v>
      </c>
      <c r="E182" s="3">
        <v>9.9999999999999998E-20</v>
      </c>
      <c r="F182">
        <v>35.43</v>
      </c>
      <c r="G182" t="str">
        <f>HYPERLINK("https://www.ncbi.nlm.nih.gov/nucleotide/XM_016779755.1?report=genbank&amp;log$=nucltop&amp;blast_rank=77&amp;RID=UJKJA9N5013","XM_016779755.1")</f>
        <v>XM_016779755.1</v>
      </c>
    </row>
    <row r="183" spans="1:7" x14ac:dyDescent="0.35">
      <c r="A183" t="s">
        <v>175</v>
      </c>
      <c r="B183">
        <v>103</v>
      </c>
      <c r="C183">
        <v>103</v>
      </c>
      <c r="D183" s="2">
        <v>0.32</v>
      </c>
      <c r="E183" s="3">
        <v>2.9999999999999999E-19</v>
      </c>
      <c r="F183">
        <v>35.43</v>
      </c>
      <c r="G183" t="str">
        <f>HYPERLINK("https://www.ncbi.nlm.nih.gov/nucleotide/XM_022651297.1?report=genbank&amp;log$=nucltop&amp;blast_rank=78&amp;RID=UJKJA9N5013","XM_022651297.1")</f>
        <v>XM_022651297.1</v>
      </c>
    </row>
    <row r="184" spans="1:7" x14ac:dyDescent="0.35">
      <c r="A184" t="s">
        <v>176</v>
      </c>
      <c r="B184">
        <v>102</v>
      </c>
      <c r="C184">
        <v>102</v>
      </c>
      <c r="D184" s="2">
        <v>0.31</v>
      </c>
      <c r="E184" s="3">
        <v>1.0000000000000001E-18</v>
      </c>
      <c r="F184">
        <v>35.4</v>
      </c>
      <c r="G184" t="str">
        <f>HYPERLINK("https://www.ncbi.nlm.nih.gov/nucleotide/XM_003008770.1?report=genbank&amp;log$=nucltop&amp;blast_rank=79&amp;RID=UJKJA9N5013","XM_003008770.1")</f>
        <v>XM_003008770.1</v>
      </c>
    </row>
    <row r="185" spans="1:7" x14ac:dyDescent="0.35">
      <c r="A185" t="s">
        <v>177</v>
      </c>
      <c r="B185">
        <v>100</v>
      </c>
      <c r="C185">
        <v>100</v>
      </c>
      <c r="D185" s="2">
        <v>0.27</v>
      </c>
      <c r="E185" s="3">
        <v>9.9999999999999998E-20</v>
      </c>
      <c r="F185">
        <v>35.369999999999997</v>
      </c>
      <c r="G185" t="str">
        <f>HYPERLINK("https://www.ncbi.nlm.nih.gov/nucleotide/XM_007771470.1?report=genbank&amp;log$=nucltop&amp;blast_rank=80&amp;RID=UJKJA9N5013","XM_007771470.1")</f>
        <v>XM_007771470.1</v>
      </c>
    </row>
    <row r="186" spans="1:7" x14ac:dyDescent="0.35">
      <c r="A186" t="s">
        <v>178</v>
      </c>
      <c r="B186">
        <v>116</v>
      </c>
      <c r="C186">
        <v>116</v>
      </c>
      <c r="D186" s="2">
        <v>0.24</v>
      </c>
      <c r="E186" s="3">
        <v>3E-23</v>
      </c>
      <c r="F186">
        <v>35.29</v>
      </c>
      <c r="G186" t="str">
        <f>HYPERLINK("https://www.ncbi.nlm.nih.gov/nucleotide/XM_025502720.1?report=genbank&amp;log$=nucltop&amp;blast_rank=81&amp;RID=UJKJA9N5013","XM_025502720.1")</f>
        <v>XM_025502720.1</v>
      </c>
    </row>
    <row r="187" spans="1:7" x14ac:dyDescent="0.35">
      <c r="A187" t="s">
        <v>179</v>
      </c>
      <c r="B187">
        <v>101</v>
      </c>
      <c r="C187">
        <v>101</v>
      </c>
      <c r="D187" s="2">
        <v>0.32</v>
      </c>
      <c r="E187" s="3">
        <v>2.9999999999999998E-18</v>
      </c>
      <c r="F187">
        <v>35.15</v>
      </c>
      <c r="G187" t="str">
        <f>HYPERLINK("https://www.ncbi.nlm.nih.gov/nucleotide/CP051142.1?report=genbank&amp;log$=nucltop&amp;blast_rank=82&amp;RID=UJKJA9N5013","CP051142.1")</f>
        <v>CP051142.1</v>
      </c>
    </row>
    <row r="188" spans="1:7" x14ac:dyDescent="0.35">
      <c r="A188" t="s">
        <v>180</v>
      </c>
      <c r="B188">
        <v>105</v>
      </c>
      <c r="C188">
        <v>105</v>
      </c>
      <c r="D188" s="2">
        <v>0.32</v>
      </c>
      <c r="E188" s="3">
        <v>7.0000000000000001E-20</v>
      </c>
      <c r="F188">
        <v>35.119999999999997</v>
      </c>
      <c r="G188" t="str">
        <f>HYPERLINK("https://www.ncbi.nlm.nih.gov/nucleotide/XM_016359670.1?report=genbank&amp;log$=nucltop&amp;blast_rank=83&amp;RID=UJKJA9N5013","XM_016359670.1")</f>
        <v>XM_016359670.1</v>
      </c>
    </row>
    <row r="189" spans="1:7" x14ac:dyDescent="0.35">
      <c r="A189" t="s">
        <v>181</v>
      </c>
      <c r="B189">
        <v>102</v>
      </c>
      <c r="C189">
        <v>102</v>
      </c>
      <c r="D189" s="2">
        <v>0.32</v>
      </c>
      <c r="E189" s="3">
        <v>7.9999999999999998E-19</v>
      </c>
      <c r="F189">
        <v>35.119999999999997</v>
      </c>
      <c r="G189" t="str">
        <f>HYPERLINK("https://www.ncbi.nlm.nih.gov/nucleotide/XM_003857639.1?report=genbank&amp;log$=nucltop&amp;blast_rank=84&amp;RID=UJKJA9N5013","XM_003857639.1")</f>
        <v>XM_003857639.1</v>
      </c>
    </row>
    <row r="190" spans="1:7" x14ac:dyDescent="0.35">
      <c r="A190" t="s">
        <v>182</v>
      </c>
      <c r="B190">
        <v>118</v>
      </c>
      <c r="C190">
        <v>118</v>
      </c>
      <c r="D190" s="2">
        <v>0.25</v>
      </c>
      <c r="E190" s="3">
        <v>4.9999999999999998E-24</v>
      </c>
      <c r="F190">
        <v>35</v>
      </c>
      <c r="G190" t="str">
        <f>HYPERLINK("https://www.ncbi.nlm.nih.gov/nucleotide/XM_029884767.1?report=genbank&amp;log$=nucltop&amp;blast_rank=85&amp;RID=UJKJA9N5013","XM_029884767.1")</f>
        <v>XM_029884767.1</v>
      </c>
    </row>
    <row r="191" spans="1:7" x14ac:dyDescent="0.35">
      <c r="A191" t="s">
        <v>183</v>
      </c>
      <c r="B191">
        <v>112</v>
      </c>
      <c r="C191">
        <v>112</v>
      </c>
      <c r="D191" s="2">
        <v>0.3</v>
      </c>
      <c r="E191" s="3">
        <v>9.9999999999999992E-25</v>
      </c>
      <c r="F191">
        <v>34.97</v>
      </c>
      <c r="G191" t="str">
        <f>HYPERLINK("https://www.ncbi.nlm.nih.gov/nucleotide/XM_016436705.1?report=genbank&amp;log$=nucltop&amp;blast_rank=86&amp;RID=UJKJA9N5013","XM_016436705.1")</f>
        <v>XM_016436705.1</v>
      </c>
    </row>
    <row r="192" spans="1:7" x14ac:dyDescent="0.35">
      <c r="A192" t="s">
        <v>184</v>
      </c>
      <c r="B192">
        <v>113</v>
      </c>
      <c r="C192">
        <v>113</v>
      </c>
      <c r="D192" s="2">
        <v>0.26</v>
      </c>
      <c r="E192" s="3">
        <v>2.0000000000000001E-22</v>
      </c>
      <c r="F192">
        <v>34.909999999999997</v>
      </c>
      <c r="G192" t="str">
        <f>HYPERLINK("https://www.ncbi.nlm.nih.gov/nucleotide/XM_025508829.1?report=genbank&amp;log$=nucltop&amp;blast_rank=87&amp;RID=UJKJA9N5013","XM_025508829.1")</f>
        <v>XM_025508829.1</v>
      </c>
    </row>
    <row r="193" spans="1:7" x14ac:dyDescent="0.35">
      <c r="A193" t="s">
        <v>185</v>
      </c>
      <c r="B193">
        <v>116</v>
      </c>
      <c r="C193">
        <v>116</v>
      </c>
      <c r="D193" s="2">
        <v>0.27</v>
      </c>
      <c r="E193" s="3">
        <v>1.9999999999999999E-23</v>
      </c>
      <c r="F193">
        <v>34.880000000000003</v>
      </c>
      <c r="G193" t="str">
        <f>HYPERLINK("https://www.ncbi.nlm.nih.gov/nucleotide/XM_007882346.1?report=genbank&amp;log$=nucltop&amp;blast_rank=88&amp;RID=UJKJA9N5013","XM_007882346.1")</f>
        <v>XM_007882346.1</v>
      </c>
    </row>
    <row r="194" spans="1:7" x14ac:dyDescent="0.35">
      <c r="A194" t="s">
        <v>21</v>
      </c>
      <c r="B194">
        <v>124</v>
      </c>
      <c r="C194">
        <v>124</v>
      </c>
      <c r="D194" s="2">
        <v>0.32</v>
      </c>
      <c r="E194" s="3">
        <v>5.0000000000000002E-27</v>
      </c>
      <c r="F194">
        <v>34.85</v>
      </c>
      <c r="G194" t="str">
        <f>HYPERLINK("https://www.ncbi.nlm.nih.gov/nucleotide/XM_009545687.1?report=genbank&amp;log$=nucltop&amp;blast_rank=89&amp;RID=UJKJA9N5013","XM_009545687.1")</f>
        <v>XM_009545687.1</v>
      </c>
    </row>
    <row r="195" spans="1:7" x14ac:dyDescent="0.35">
      <c r="A195" t="s">
        <v>186</v>
      </c>
      <c r="B195">
        <v>103</v>
      </c>
      <c r="C195">
        <v>103</v>
      </c>
      <c r="D195" s="2">
        <v>0.32</v>
      </c>
      <c r="E195" s="3">
        <v>3.9999999999999999E-19</v>
      </c>
      <c r="F195">
        <v>34.71</v>
      </c>
      <c r="G195" t="str">
        <f>HYPERLINK("https://www.ncbi.nlm.nih.gov/nucleotide/XM_016784392.1?report=genbank&amp;log$=nucltop&amp;blast_rank=90&amp;RID=UJKJA9N5013","XM_016784392.1")</f>
        <v>XM_016784392.1</v>
      </c>
    </row>
    <row r="196" spans="1:7" x14ac:dyDescent="0.35">
      <c r="A196" t="s">
        <v>187</v>
      </c>
      <c r="B196">
        <v>115</v>
      </c>
      <c r="C196">
        <v>115</v>
      </c>
      <c r="D196" s="2">
        <v>0.25</v>
      </c>
      <c r="E196" s="3">
        <v>3E-23</v>
      </c>
      <c r="F196">
        <v>34.39</v>
      </c>
      <c r="G196" t="str">
        <f>HYPERLINK("https://www.ncbi.nlm.nih.gov/nucleotide/XM_027754401.1?report=genbank&amp;log$=nucltop&amp;blast_rank=91&amp;RID=UJKJA9N5013","XM_027754401.1")</f>
        <v>XM_027754401.1</v>
      </c>
    </row>
    <row r="197" spans="1:7" x14ac:dyDescent="0.35">
      <c r="A197" t="s">
        <v>188</v>
      </c>
      <c r="B197">
        <v>111</v>
      </c>
      <c r="C197">
        <v>111</v>
      </c>
      <c r="D197" s="2">
        <v>0.24</v>
      </c>
      <c r="E197" s="3">
        <v>8.9999999999999997E-22</v>
      </c>
      <c r="F197">
        <v>33.99</v>
      </c>
      <c r="G197" t="str">
        <f>HYPERLINK("https://www.ncbi.nlm.nih.gov/nucleotide/XM_025521795.1?report=genbank&amp;log$=nucltop&amp;blast_rank=92&amp;RID=UJKJA9N5013","XM_025521795.1")</f>
        <v>XM_025521795.1</v>
      </c>
    </row>
    <row r="198" spans="1:7" x14ac:dyDescent="0.35">
      <c r="A198" t="s">
        <v>189</v>
      </c>
      <c r="B198">
        <v>123</v>
      </c>
      <c r="C198">
        <v>123</v>
      </c>
      <c r="D198" s="2">
        <v>0.3</v>
      </c>
      <c r="E198" s="3">
        <v>1E-25</v>
      </c>
      <c r="F198">
        <v>33.96</v>
      </c>
      <c r="G198" t="str">
        <f>HYPERLINK("https://www.ncbi.nlm.nih.gov/nucleotide/XM_007407308.1?report=genbank&amp;log$=nucltop&amp;blast_rank=93&amp;RID=UJKJA9N5013","XM_007407308.1")</f>
        <v>XM_007407308.1</v>
      </c>
    </row>
    <row r="199" spans="1:7" x14ac:dyDescent="0.35">
      <c r="A199" t="s">
        <v>190</v>
      </c>
      <c r="B199">
        <v>120</v>
      </c>
      <c r="C199">
        <v>120</v>
      </c>
      <c r="D199" s="2">
        <v>0.3</v>
      </c>
      <c r="E199" s="3">
        <v>9.9999999999999992E-25</v>
      </c>
      <c r="F199">
        <v>33.869999999999997</v>
      </c>
      <c r="G199" t="str">
        <f>HYPERLINK("https://www.ncbi.nlm.nih.gov/nucleotide/HG529702.1?report=genbank&amp;log$=nucltop&amp;blast_rank=94&amp;RID=UJKJA9N5013","HG529702.1")</f>
        <v>HG529702.1</v>
      </c>
    </row>
    <row r="200" spans="1:7" x14ac:dyDescent="0.35">
      <c r="A200" t="s">
        <v>191</v>
      </c>
      <c r="B200">
        <v>100</v>
      </c>
      <c r="C200">
        <v>100</v>
      </c>
      <c r="D200" s="2">
        <v>0.32</v>
      </c>
      <c r="E200" s="3">
        <v>2.9999999999999998E-18</v>
      </c>
      <c r="F200">
        <v>33.71</v>
      </c>
      <c r="G200" t="str">
        <f>HYPERLINK("https://www.ncbi.nlm.nih.gov/nucleotide/XM_016385123.1?report=genbank&amp;log$=nucltop&amp;blast_rank=95&amp;RID=UJKJA9N5013","XM_016385123.1")</f>
        <v>XM_016385123.1</v>
      </c>
    </row>
    <row r="201" spans="1:7" x14ac:dyDescent="0.35">
      <c r="A201" t="s">
        <v>192</v>
      </c>
      <c r="B201">
        <v>122</v>
      </c>
      <c r="C201">
        <v>122</v>
      </c>
      <c r="D201" s="2">
        <v>0.3</v>
      </c>
      <c r="E201" s="3">
        <v>4.9999999999999996E-25</v>
      </c>
      <c r="F201">
        <v>33.520000000000003</v>
      </c>
      <c r="G201" t="str">
        <f>HYPERLINK("https://www.ncbi.nlm.nih.gov/nucleotide/LT558139.1?report=genbank&amp;log$=nucltop&amp;blast_rank=96&amp;RID=UJKJA9N5013","LT558139.1")</f>
        <v>LT558139.1</v>
      </c>
    </row>
    <row r="202" spans="1:7" x14ac:dyDescent="0.35">
      <c r="A202" t="s">
        <v>193</v>
      </c>
      <c r="B202">
        <v>98.2</v>
      </c>
      <c r="C202">
        <v>98.2</v>
      </c>
      <c r="D202" s="2">
        <v>0.25</v>
      </c>
      <c r="E202" s="3">
        <v>7.0000000000000001E-20</v>
      </c>
      <c r="F202">
        <v>33.33</v>
      </c>
      <c r="G202" t="str">
        <f>HYPERLINK("https://www.ncbi.nlm.nih.gov/nucleotide/XM_025490272.1?report=genbank&amp;log$=nucltop&amp;blast_rank=97&amp;RID=UJKJA9N5013","XM_025490272.1")</f>
        <v>XM_025490272.1</v>
      </c>
    </row>
    <row r="203" spans="1:7" x14ac:dyDescent="0.35">
      <c r="A203" t="s">
        <v>194</v>
      </c>
      <c r="B203">
        <v>110</v>
      </c>
      <c r="C203">
        <v>110</v>
      </c>
      <c r="D203" s="2">
        <v>0.36</v>
      </c>
      <c r="E203" s="3">
        <v>9.9999999999999991E-22</v>
      </c>
      <c r="F203">
        <v>32.42</v>
      </c>
      <c r="G203" t="str">
        <f>HYPERLINK("https://www.ncbi.nlm.nih.gov/nucleotide/XM_007392158.1?report=genbank&amp;log$=nucltop&amp;blast_rank=98&amp;RID=UJKJA9N5013","XM_007392158.1")</f>
        <v>XM_007392158.1</v>
      </c>
    </row>
    <row r="204" spans="1:7" x14ac:dyDescent="0.35">
      <c r="A204" t="s">
        <v>195</v>
      </c>
      <c r="B204">
        <v>101</v>
      </c>
      <c r="C204">
        <v>101</v>
      </c>
      <c r="D204" s="2">
        <v>0.32</v>
      </c>
      <c r="E204" s="3">
        <v>1.0000000000000001E-18</v>
      </c>
      <c r="F204">
        <v>31.82</v>
      </c>
      <c r="G204" t="str">
        <f>HYPERLINK("https://www.ncbi.nlm.nih.gov/nucleotide/XM_033708393.1?report=genbank&amp;log$=nucltop&amp;blast_rank=99&amp;RID=UJKJA9N5013","XM_033708393.1")</f>
        <v>XM_033708393.1</v>
      </c>
    </row>
    <row r="205" spans="1:7" x14ac:dyDescent="0.35">
      <c r="A205" t="s">
        <v>196</v>
      </c>
      <c r="B205">
        <v>103</v>
      </c>
      <c r="C205">
        <v>103</v>
      </c>
      <c r="D205" s="2">
        <v>0.43</v>
      </c>
      <c r="E205" s="3">
        <v>2.9999999999999999E-19</v>
      </c>
      <c r="F205">
        <v>31.76</v>
      </c>
      <c r="G205" t="str">
        <f>HYPERLINK("https://www.ncbi.nlm.nih.gov/nucleotide/XM_003844854.1?report=genbank&amp;log$=nucltop&amp;blast_rank=100&amp;RID=UJKJA9N5013","XM_003844854.1")</f>
        <v>XM_003844854.1</v>
      </c>
    </row>
    <row r="206" spans="1:7" x14ac:dyDescent="0.35">
      <c r="A206" s="1" t="s">
        <v>197</v>
      </c>
    </row>
    <row r="207" spans="1:7" x14ac:dyDescent="0.35">
      <c r="A207" s="1" t="s">
        <v>2</v>
      </c>
      <c r="B207" s="1" t="s">
        <v>3</v>
      </c>
      <c r="C207" s="1" t="s">
        <v>4</v>
      </c>
      <c r="D207" s="1" t="s">
        <v>5</v>
      </c>
      <c r="E207" s="1" t="s">
        <v>6</v>
      </c>
      <c r="F207" s="1" t="s">
        <v>7</v>
      </c>
      <c r="G207" s="1" t="s">
        <v>8</v>
      </c>
    </row>
    <row r="208" spans="1:7" x14ac:dyDescent="0.35">
      <c r="A208" t="s">
        <v>9</v>
      </c>
      <c r="B208">
        <v>154</v>
      </c>
      <c r="C208">
        <v>390</v>
      </c>
      <c r="D208" s="2">
        <v>1</v>
      </c>
      <c r="E208" s="3">
        <v>3.0000000000000001E-92</v>
      </c>
      <c r="F208">
        <v>61.27</v>
      </c>
      <c r="G208" t="str">
        <f>HYPERLINK("https://www.ncbi.nlm.nih.gov/nucleotide/LR732079.1?report=genbank&amp;log$=nucltop&amp;blast_rank=1&amp;RID=UJMCBTDU013","LR732079.1")</f>
        <v>LR732079.1</v>
      </c>
    </row>
    <row r="209" spans="1:7" x14ac:dyDescent="0.35">
      <c r="A209" t="s">
        <v>21</v>
      </c>
      <c r="B209">
        <v>238</v>
      </c>
      <c r="C209">
        <v>238</v>
      </c>
      <c r="D209" s="2">
        <v>0.78</v>
      </c>
      <c r="E209" s="3">
        <v>1.9999999999999999E-75</v>
      </c>
      <c r="F209">
        <v>59.18</v>
      </c>
      <c r="G209" t="str">
        <f>HYPERLINK("https://www.ncbi.nlm.nih.gov/nucleotide/XM_009546989.1?report=genbank&amp;log$=nucltop&amp;blast_rank=2&amp;RID=UJMCBTDU013","XM_009546989.1")</f>
        <v>XM_009546989.1</v>
      </c>
    </row>
    <row r="210" spans="1:7" x14ac:dyDescent="0.35">
      <c r="A210" t="s">
        <v>198</v>
      </c>
      <c r="B210">
        <v>268</v>
      </c>
      <c r="C210">
        <v>268</v>
      </c>
      <c r="D210" s="2">
        <v>0.92</v>
      </c>
      <c r="E210" s="3">
        <v>1E-84</v>
      </c>
      <c r="F210">
        <v>57.08</v>
      </c>
      <c r="G210" t="str">
        <f>HYPERLINK("https://www.ncbi.nlm.nih.gov/nucleotide/XM_007870715.1?report=genbank&amp;log$=nucltop&amp;blast_rank=3&amp;RID=UJMCBTDU013","XM_007870715.1")</f>
        <v>XM_007870715.1</v>
      </c>
    </row>
    <row r="211" spans="1:7" x14ac:dyDescent="0.35">
      <c r="A211" t="s">
        <v>199</v>
      </c>
      <c r="B211">
        <v>270</v>
      </c>
      <c r="C211">
        <v>270</v>
      </c>
      <c r="D211" s="2">
        <v>0.93</v>
      </c>
      <c r="E211" s="3">
        <v>6.0000000000000002E-86</v>
      </c>
      <c r="F211">
        <v>56.6</v>
      </c>
      <c r="G211" t="str">
        <f>HYPERLINK("https://www.ncbi.nlm.nih.gov/nucleotide/XM_007393489.1?report=genbank&amp;log$=nucltop&amp;blast_rank=4&amp;RID=UJMCBTDU013","XM_007393489.1")</f>
        <v>XM_007393489.1</v>
      </c>
    </row>
    <row r="212" spans="1:7" x14ac:dyDescent="0.35">
      <c r="A212" t="s">
        <v>200</v>
      </c>
      <c r="B212">
        <v>256</v>
      </c>
      <c r="C212">
        <v>256</v>
      </c>
      <c r="D212" s="2">
        <v>0.89</v>
      </c>
      <c r="E212" s="3">
        <v>2.9999999999999999E-78</v>
      </c>
      <c r="F212">
        <v>55.56</v>
      </c>
      <c r="G212" t="str">
        <f>HYPERLINK("https://www.ncbi.nlm.nih.gov/nucleotide/XM_003029540.1?report=genbank&amp;log$=nucltop&amp;blast_rank=5&amp;RID=UJMCBTDU013","XM_003029540.1")</f>
        <v>XM_003029540.1</v>
      </c>
    </row>
    <row r="213" spans="1:7" x14ac:dyDescent="0.35">
      <c r="A213" t="s">
        <v>18</v>
      </c>
      <c r="B213">
        <v>160</v>
      </c>
      <c r="C213">
        <v>160</v>
      </c>
      <c r="D213" s="2">
        <v>0.54</v>
      </c>
      <c r="E213" s="3">
        <v>9.9999999999999993E-41</v>
      </c>
      <c r="F213">
        <v>55.13</v>
      </c>
      <c r="G213" t="str">
        <f>HYPERLINK("https://www.ncbi.nlm.nih.gov/nucleotide/CP015474.1?report=genbank&amp;log$=nucltop&amp;blast_rank=6&amp;RID=UJMCBTDU013","CP015474.1")</f>
        <v>CP015474.1</v>
      </c>
    </row>
    <row r="214" spans="1:7" x14ac:dyDescent="0.35">
      <c r="A214" t="s">
        <v>17</v>
      </c>
      <c r="B214">
        <v>160</v>
      </c>
      <c r="C214">
        <v>160</v>
      </c>
      <c r="D214" s="2">
        <v>0.54</v>
      </c>
      <c r="E214" s="3">
        <v>9.9999999999999993E-41</v>
      </c>
      <c r="F214">
        <v>55.13</v>
      </c>
      <c r="G214" t="str">
        <f>HYPERLINK("https://www.ncbi.nlm.nih.gov/nucleotide/CP015461.1?report=genbank&amp;log$=nucltop&amp;blast_rank=7&amp;RID=UJMCBTDU013","CP015461.1")</f>
        <v>CP015461.1</v>
      </c>
    </row>
    <row r="215" spans="1:7" x14ac:dyDescent="0.35">
      <c r="A215" t="s">
        <v>16</v>
      </c>
      <c r="B215">
        <v>160</v>
      </c>
      <c r="C215">
        <v>160</v>
      </c>
      <c r="D215" s="2">
        <v>0.54</v>
      </c>
      <c r="E215" s="3">
        <v>9.9999999999999993E-41</v>
      </c>
      <c r="F215">
        <v>55.13</v>
      </c>
      <c r="G215" t="str">
        <f>HYPERLINK("https://www.ncbi.nlm.nih.gov/nucleotide/CP039877.1?report=genbank&amp;log$=nucltop&amp;blast_rank=8&amp;RID=UJMCBTDU013","CP039877.1")</f>
        <v>CP039877.1</v>
      </c>
    </row>
    <row r="216" spans="1:7" x14ac:dyDescent="0.35">
      <c r="A216" t="s">
        <v>201</v>
      </c>
      <c r="B216">
        <v>258</v>
      </c>
      <c r="C216">
        <v>258</v>
      </c>
      <c r="D216" s="2">
        <v>0.93</v>
      </c>
      <c r="E216" s="3">
        <v>9.0000000000000006E-80</v>
      </c>
      <c r="F216">
        <v>54.89</v>
      </c>
      <c r="G216" t="str">
        <f>HYPERLINK("https://www.ncbi.nlm.nih.gov/nucleotide/XM_027763129.1?report=genbank&amp;log$=nucltop&amp;blast_rank=9&amp;RID=UJMCBTDU013","XM_027763129.1")</f>
        <v>XM_027763129.1</v>
      </c>
    </row>
    <row r="217" spans="1:7" x14ac:dyDescent="0.35">
      <c r="A217" t="s">
        <v>202</v>
      </c>
      <c r="B217">
        <v>261</v>
      </c>
      <c r="C217">
        <v>261</v>
      </c>
      <c r="D217" s="2">
        <v>0.95</v>
      </c>
      <c r="E217" s="3">
        <v>7.0000000000000002E-84</v>
      </c>
      <c r="F217">
        <v>54.32</v>
      </c>
      <c r="G217" t="str">
        <f>HYPERLINK("https://www.ncbi.nlm.nih.gov/nucleotide/XM_007389005.1?report=genbank&amp;log$=nucltop&amp;blast_rank=10&amp;RID=UJMCBTDU013","XM_007389005.1")</f>
        <v>XM_007389005.1</v>
      </c>
    </row>
    <row r="218" spans="1:7" x14ac:dyDescent="0.35">
      <c r="A218" t="s">
        <v>203</v>
      </c>
      <c r="B218">
        <v>236</v>
      </c>
      <c r="C218">
        <v>236</v>
      </c>
      <c r="D218" s="2">
        <v>0.9</v>
      </c>
      <c r="E218" s="3">
        <v>1E-73</v>
      </c>
      <c r="F218">
        <v>53.68</v>
      </c>
      <c r="G218" t="str">
        <f>HYPERLINK("https://www.ncbi.nlm.nih.gov/nucleotide/XM_007263367.1?report=genbank&amp;log$=nucltop&amp;blast_rank=11&amp;RID=UJMCBTDU013","XM_007263367.1")</f>
        <v>XM_007263367.1</v>
      </c>
    </row>
    <row r="219" spans="1:7" x14ac:dyDescent="0.35">
      <c r="A219" t="s">
        <v>204</v>
      </c>
      <c r="B219">
        <v>258</v>
      </c>
      <c r="C219">
        <v>258</v>
      </c>
      <c r="D219" s="2">
        <v>0.98</v>
      </c>
      <c r="E219" s="3">
        <v>9.9999999999999996E-81</v>
      </c>
      <c r="F219">
        <v>53.66</v>
      </c>
      <c r="G219" t="str">
        <f>HYPERLINK("https://www.ncbi.nlm.nih.gov/nucleotide/XM_008041438.1?report=genbank&amp;log$=nucltop&amp;blast_rank=12&amp;RID=UJMCBTDU013","XM_008041438.1")</f>
        <v>XM_008041438.1</v>
      </c>
    </row>
    <row r="220" spans="1:7" x14ac:dyDescent="0.35">
      <c r="A220" t="s">
        <v>107</v>
      </c>
      <c r="B220">
        <v>174</v>
      </c>
      <c r="C220">
        <v>214</v>
      </c>
      <c r="D220" s="2">
        <v>0.64</v>
      </c>
      <c r="E220" s="3">
        <v>9.9999999999999998E-46</v>
      </c>
      <c r="F220">
        <v>53.59</v>
      </c>
      <c r="G220" t="str">
        <f>HYPERLINK("https://www.ncbi.nlm.nih.gov/nucleotide/CP019380.1?report=genbank&amp;log$=nucltop&amp;blast_rank=13&amp;RID=UJMCBTDU013","CP019380.1")</f>
        <v>CP019380.1</v>
      </c>
    </row>
    <row r="221" spans="1:7" x14ac:dyDescent="0.35">
      <c r="A221" t="s">
        <v>205</v>
      </c>
      <c r="B221">
        <v>250</v>
      </c>
      <c r="C221">
        <v>250</v>
      </c>
      <c r="D221" s="2">
        <v>0.9</v>
      </c>
      <c r="E221" s="3">
        <v>9.9999999999999993E-78</v>
      </c>
      <c r="F221">
        <v>53.51</v>
      </c>
      <c r="G221" t="str">
        <f>HYPERLINK("https://www.ncbi.nlm.nih.gov/nucleotide/XM_007318641.1?report=genbank&amp;log$=nucltop&amp;blast_rank=14&amp;RID=UJMCBTDU013","XM_007318641.1")</f>
        <v>XM_007318641.1</v>
      </c>
    </row>
    <row r="222" spans="1:7" x14ac:dyDescent="0.35">
      <c r="A222" t="s">
        <v>206</v>
      </c>
      <c r="B222">
        <v>251</v>
      </c>
      <c r="C222">
        <v>251</v>
      </c>
      <c r="D222" s="2">
        <v>0.92</v>
      </c>
      <c r="E222" s="3">
        <v>2E-78</v>
      </c>
      <c r="F222">
        <v>52.38</v>
      </c>
      <c r="G222" t="str">
        <f>HYPERLINK("https://www.ncbi.nlm.nih.gov/nucleotide/XM_024477854.1?report=genbank&amp;log$=nucltop&amp;blast_rank=15&amp;RID=UJMCBTDU013","XM_024477854.1")</f>
        <v>XM_024477854.1</v>
      </c>
    </row>
    <row r="223" spans="1:7" x14ac:dyDescent="0.35">
      <c r="A223" t="s">
        <v>207</v>
      </c>
      <c r="B223">
        <v>242</v>
      </c>
      <c r="C223">
        <v>242</v>
      </c>
      <c r="D223" s="2">
        <v>0.91</v>
      </c>
      <c r="E223" s="3">
        <v>9.9999999999999993E-77</v>
      </c>
      <c r="F223">
        <v>52.17</v>
      </c>
      <c r="G223" t="str">
        <f>HYPERLINK("https://www.ncbi.nlm.nih.gov/nucleotide/XM_006459159.1?report=genbank&amp;log$=nucltop&amp;blast_rank=16&amp;RID=UJMCBTDU013","XM_006459159.1")</f>
        <v>XM_006459159.1</v>
      </c>
    </row>
    <row r="224" spans="1:7" x14ac:dyDescent="0.35">
      <c r="A224" t="s">
        <v>208</v>
      </c>
      <c r="B224">
        <v>250</v>
      </c>
      <c r="C224">
        <v>250</v>
      </c>
      <c r="D224" s="2">
        <v>0.99</v>
      </c>
      <c r="E224" s="3">
        <v>1E-79</v>
      </c>
      <c r="F224">
        <v>51.37</v>
      </c>
      <c r="G224" t="str">
        <f>HYPERLINK("https://www.ncbi.nlm.nih.gov/nucleotide/XM_036706624.1?report=genbank&amp;log$=nucltop&amp;blast_rank=17&amp;RID=UJMCBTDU013","XM_036706624.1")</f>
        <v>XM_036706624.1</v>
      </c>
    </row>
    <row r="225" spans="1:7" x14ac:dyDescent="0.35">
      <c r="A225" t="s">
        <v>209</v>
      </c>
      <c r="B225">
        <v>130</v>
      </c>
      <c r="C225">
        <v>130</v>
      </c>
      <c r="D225" s="2">
        <v>0.56999999999999995</v>
      </c>
      <c r="E225" s="3">
        <v>2.0000000000000002E-30</v>
      </c>
      <c r="F225">
        <v>51.35</v>
      </c>
      <c r="G225" t="str">
        <f>HYPERLINK("https://www.ncbi.nlm.nih.gov/nucleotide/CP003003.1?report=genbank&amp;log$=nucltop&amp;blast_rank=18&amp;RID=UJMCBTDU013","CP003003.1")</f>
        <v>CP003003.1</v>
      </c>
    </row>
    <row r="226" spans="1:7" x14ac:dyDescent="0.35">
      <c r="A226" t="s">
        <v>210</v>
      </c>
      <c r="B226">
        <v>134</v>
      </c>
      <c r="C226">
        <v>134</v>
      </c>
      <c r="D226" s="2">
        <v>0.57999999999999996</v>
      </c>
      <c r="E226" s="3">
        <v>1.0000000000000001E-33</v>
      </c>
      <c r="F226">
        <v>50.67</v>
      </c>
      <c r="G226" t="str">
        <f>HYPERLINK("https://www.ncbi.nlm.nih.gov/nucleotide/XM_031139192.1?report=genbank&amp;log$=nucltop&amp;blast_rank=19&amp;RID=UJMCBTDU013","XM_031139192.1")</f>
        <v>XM_031139192.1</v>
      </c>
    </row>
    <row r="227" spans="1:7" x14ac:dyDescent="0.35">
      <c r="A227" t="s">
        <v>211</v>
      </c>
      <c r="B227">
        <v>132</v>
      </c>
      <c r="C227">
        <v>132</v>
      </c>
      <c r="D227" s="2">
        <v>0.56000000000000005</v>
      </c>
      <c r="E227" s="3">
        <v>3.0000000000000002E-33</v>
      </c>
      <c r="F227">
        <v>50.34</v>
      </c>
      <c r="G227" t="str">
        <f>HYPERLINK("https://www.ncbi.nlm.nih.gov/nucleotide/XM_014093215.1?report=genbank&amp;log$=nucltop&amp;blast_rank=20&amp;RID=UJMCBTDU013","XM_014093215.1")</f>
        <v>XM_014093215.1</v>
      </c>
    </row>
    <row r="228" spans="1:7" x14ac:dyDescent="0.35">
      <c r="A228" t="s">
        <v>212</v>
      </c>
      <c r="B228">
        <v>125</v>
      </c>
      <c r="C228">
        <v>125</v>
      </c>
      <c r="D228" s="2">
        <v>0.56000000000000005</v>
      </c>
      <c r="E228" s="3">
        <v>1.0000000000000001E-30</v>
      </c>
      <c r="F228">
        <v>50.34</v>
      </c>
      <c r="G228" t="str">
        <f>HYPERLINK("https://www.ncbi.nlm.nih.gov/nucleotide/XM_024907130.1?report=genbank&amp;log$=nucltop&amp;blast_rank=21&amp;RID=UJMCBTDU013","XM_024907130.1")</f>
        <v>XM_024907130.1</v>
      </c>
    </row>
    <row r="229" spans="1:7" x14ac:dyDescent="0.35">
      <c r="A229" t="s">
        <v>213</v>
      </c>
      <c r="B229">
        <v>146</v>
      </c>
      <c r="C229">
        <v>146</v>
      </c>
      <c r="D229" s="2">
        <v>0.62</v>
      </c>
      <c r="E229" s="3">
        <v>9.9999999999999996E-39</v>
      </c>
      <c r="F229">
        <v>50.31</v>
      </c>
      <c r="G229" t="str">
        <f>HYPERLINK("https://www.ncbi.nlm.nih.gov/nucleotide/XM_036702145.1?report=genbank&amp;log$=nucltop&amp;blast_rank=22&amp;RID=UJMCBTDU013","XM_036702145.1")</f>
        <v>XM_036702145.1</v>
      </c>
    </row>
    <row r="230" spans="1:7" x14ac:dyDescent="0.35">
      <c r="A230" t="s">
        <v>214</v>
      </c>
      <c r="B230">
        <v>145</v>
      </c>
      <c r="C230">
        <v>145</v>
      </c>
      <c r="D230" s="2">
        <v>0.62</v>
      </c>
      <c r="E230" s="3">
        <v>1.9999999999999999E-38</v>
      </c>
      <c r="F230">
        <v>50.31</v>
      </c>
      <c r="G230" t="str">
        <f>HYPERLINK("https://www.ncbi.nlm.nih.gov/nucleotide/XM_036653079.1?report=genbank&amp;log$=nucltop&amp;blast_rank=23&amp;RID=UJMCBTDU013","XM_036653079.1")</f>
        <v>XM_036653079.1</v>
      </c>
    </row>
    <row r="231" spans="1:7" x14ac:dyDescent="0.35">
      <c r="A231" t="s">
        <v>120</v>
      </c>
      <c r="B231">
        <v>258</v>
      </c>
      <c r="C231">
        <v>258</v>
      </c>
      <c r="D231" s="2">
        <v>1</v>
      </c>
      <c r="E231" s="3">
        <v>9.9999999999999996E-83</v>
      </c>
      <c r="F231">
        <v>49.8</v>
      </c>
      <c r="G231" t="str">
        <f>HYPERLINK("https://www.ncbi.nlm.nih.gov/nucleotide/XM_012328136.1?report=genbank&amp;log$=nucltop&amp;blast_rank=24&amp;RID=UJMCBTDU013","XM_012328136.1")</f>
        <v>XM_012328136.1</v>
      </c>
    </row>
    <row r="232" spans="1:7" x14ac:dyDescent="0.35">
      <c r="A232" t="s">
        <v>215</v>
      </c>
      <c r="B232">
        <v>236</v>
      </c>
      <c r="C232">
        <v>236</v>
      </c>
      <c r="D232" s="2">
        <v>0.96</v>
      </c>
      <c r="E232" s="3">
        <v>3.0000000000000001E-74</v>
      </c>
      <c r="F232">
        <v>49.17</v>
      </c>
      <c r="G232" t="str">
        <f>HYPERLINK("https://www.ncbi.nlm.nih.gov/nucleotide/XM_007299197.1?report=genbank&amp;log$=nucltop&amp;blast_rank=25&amp;RID=UJMCBTDU013","XM_007299197.1")</f>
        <v>XM_007299197.1</v>
      </c>
    </row>
    <row r="233" spans="1:7" x14ac:dyDescent="0.35">
      <c r="A233" s="4" t="s">
        <v>216</v>
      </c>
      <c r="B233" s="4">
        <v>131</v>
      </c>
      <c r="C233" s="4">
        <v>131</v>
      </c>
      <c r="D233" s="5">
        <v>0.61</v>
      </c>
      <c r="E233" s="6">
        <v>6.0000000000000003E-33</v>
      </c>
      <c r="F233" s="4">
        <v>48.41</v>
      </c>
      <c r="G233" s="4" t="str">
        <f>HYPERLINK("https://www.ncbi.nlm.nih.gov/nucleotide/XM_024034823.1?report=genbank&amp;log$=nucltop&amp;blast_rank=26&amp;RID=UJMCBTDU013","XM_024034823.1")</f>
        <v>XM_024034823.1</v>
      </c>
    </row>
    <row r="234" spans="1:7" x14ac:dyDescent="0.35">
      <c r="A234" t="s">
        <v>217</v>
      </c>
      <c r="B234">
        <v>247</v>
      </c>
      <c r="C234">
        <v>247</v>
      </c>
      <c r="D234" s="2">
        <v>0.98</v>
      </c>
      <c r="E234" s="3">
        <v>4.9999999999999996E-78</v>
      </c>
      <c r="F234">
        <v>48.39</v>
      </c>
      <c r="G234" t="str">
        <f>HYPERLINK("https://www.ncbi.nlm.nih.gov/nucleotide/XM_007362271.1?report=genbank&amp;log$=nucltop&amp;blast_rank=27&amp;RID=UJMCBTDU013","XM_007362271.1")</f>
        <v>XM_007362271.1</v>
      </c>
    </row>
    <row r="235" spans="1:7" x14ac:dyDescent="0.35">
      <c r="A235" t="s">
        <v>218</v>
      </c>
      <c r="B235">
        <v>147</v>
      </c>
      <c r="C235">
        <v>147</v>
      </c>
      <c r="D235" s="2">
        <v>0.6</v>
      </c>
      <c r="E235" s="3">
        <v>3.9999999999999997E-39</v>
      </c>
      <c r="F235">
        <v>48.39</v>
      </c>
      <c r="G235" t="str">
        <f>HYPERLINK("https://www.ncbi.nlm.nih.gov/nucleotide/XM_033831227.1?report=genbank&amp;log$=nucltop&amp;blast_rank=28&amp;RID=UJMCBTDU013","XM_033831227.1")</f>
        <v>XM_033831227.1</v>
      </c>
    </row>
    <row r="236" spans="1:7" x14ac:dyDescent="0.35">
      <c r="A236" t="s">
        <v>177</v>
      </c>
      <c r="B236">
        <v>236</v>
      </c>
      <c r="C236">
        <v>236</v>
      </c>
      <c r="D236" s="2">
        <v>0.92</v>
      </c>
      <c r="E236" s="3">
        <v>4E-73</v>
      </c>
      <c r="F236">
        <v>48.05</v>
      </c>
      <c r="G236" t="str">
        <f>HYPERLINK("https://www.ncbi.nlm.nih.gov/nucleotide/XM_007767661.1?report=genbank&amp;log$=nucltop&amp;blast_rank=29&amp;RID=UJMCBTDU013","XM_007767661.1")</f>
        <v>XM_007767661.1</v>
      </c>
    </row>
    <row r="237" spans="1:7" x14ac:dyDescent="0.35">
      <c r="A237" t="s">
        <v>219</v>
      </c>
      <c r="B237">
        <v>130</v>
      </c>
      <c r="C237">
        <v>130</v>
      </c>
      <c r="D237" s="2">
        <v>0.59</v>
      </c>
      <c r="E237" s="3">
        <v>1.0000000000000001E-30</v>
      </c>
      <c r="F237">
        <v>48.03</v>
      </c>
      <c r="G237" t="str">
        <f>HYPERLINK("https://www.ncbi.nlm.nih.gov/nucleotide/XM_016407075.1?report=genbank&amp;log$=nucltop&amp;blast_rank=30&amp;RID=UJMCBTDU013","XM_016407075.1")</f>
        <v>XM_016407075.1</v>
      </c>
    </row>
    <row r="238" spans="1:7" x14ac:dyDescent="0.35">
      <c r="A238" t="s">
        <v>220</v>
      </c>
      <c r="B238">
        <v>127</v>
      </c>
      <c r="C238">
        <v>127</v>
      </c>
      <c r="D238" s="2">
        <v>0.59</v>
      </c>
      <c r="E238" s="3">
        <v>2.0000000000000002E-31</v>
      </c>
      <c r="F238">
        <v>47.71</v>
      </c>
      <c r="G238" t="str">
        <f>HYPERLINK("https://www.ncbi.nlm.nih.gov/nucleotide/XM_001819228.3?report=genbank&amp;log$=nucltop&amp;blast_rank=31&amp;RID=UJMCBTDU013","XM_001819228.3")</f>
        <v>XM_001819228.3</v>
      </c>
    </row>
    <row r="239" spans="1:7" x14ac:dyDescent="0.35">
      <c r="A239" s="4" t="s">
        <v>221</v>
      </c>
      <c r="B239" s="4">
        <v>125</v>
      </c>
      <c r="C239" s="4">
        <v>125</v>
      </c>
      <c r="D239" s="5">
        <v>0.59</v>
      </c>
      <c r="E239" s="6">
        <v>6.9999999999999997E-31</v>
      </c>
      <c r="F239" s="4">
        <v>47.71</v>
      </c>
      <c r="G239" s="4" t="str">
        <f>HYPERLINK("https://www.ncbi.nlm.nih.gov/nucleotide/XM_022538922.1?report=genbank&amp;log$=nucltop&amp;blast_rank=32&amp;RID=UJMCBTDU013","XM_022538922.1")</f>
        <v>XM_022538922.1</v>
      </c>
    </row>
    <row r="240" spans="1:7" x14ac:dyDescent="0.35">
      <c r="A240" t="s">
        <v>222</v>
      </c>
      <c r="B240">
        <v>127</v>
      </c>
      <c r="C240">
        <v>127</v>
      </c>
      <c r="D240" s="2">
        <v>0.59</v>
      </c>
      <c r="E240" s="3">
        <v>1.0000000000000001E-30</v>
      </c>
      <c r="F240">
        <v>47.71</v>
      </c>
      <c r="G240" t="str">
        <f>HYPERLINK("https://www.ncbi.nlm.nih.gov/nucleotide/XM_002375229.1?report=genbank&amp;log$=nucltop&amp;blast_rank=33&amp;RID=UJMCBTDU013","XM_002375229.1")</f>
        <v>XM_002375229.1</v>
      </c>
    </row>
    <row r="241" spans="1:7" x14ac:dyDescent="0.35">
      <c r="A241" s="4" t="s">
        <v>223</v>
      </c>
      <c r="B241" s="4">
        <v>130</v>
      </c>
      <c r="C241" s="4">
        <v>130</v>
      </c>
      <c r="D241" s="5">
        <v>0.56999999999999995</v>
      </c>
      <c r="E241" s="6">
        <v>1.0000000000000001E-32</v>
      </c>
      <c r="F241" s="4">
        <v>47.62</v>
      </c>
      <c r="G241" s="4" t="str">
        <f>HYPERLINK("https://www.ncbi.nlm.nih.gov/nucleotide/XM_018807475.1?report=genbank&amp;log$=nucltop&amp;blast_rank=34&amp;RID=UJMCBTDU013","XM_018807475.1")</f>
        <v>XM_018807475.1</v>
      </c>
    </row>
    <row r="242" spans="1:7" x14ac:dyDescent="0.35">
      <c r="A242" t="s">
        <v>224</v>
      </c>
      <c r="B242">
        <v>128</v>
      </c>
      <c r="C242">
        <v>128</v>
      </c>
      <c r="D242" s="2">
        <v>0.55000000000000004</v>
      </c>
      <c r="E242" s="3">
        <v>9.0000000000000001E-32</v>
      </c>
      <c r="F242">
        <v>47.52</v>
      </c>
      <c r="G242" t="str">
        <f>HYPERLINK("https://www.ncbi.nlm.nih.gov/nucleotide/XM_022626531.1?report=genbank&amp;log$=nucltop&amp;blast_rank=35&amp;RID=UJMCBTDU013","XM_022626531.1")</f>
        <v>XM_022626531.1</v>
      </c>
    </row>
    <row r="243" spans="1:7" x14ac:dyDescent="0.35">
      <c r="A243" t="s">
        <v>156</v>
      </c>
      <c r="B243">
        <v>127</v>
      </c>
      <c r="C243">
        <v>127</v>
      </c>
      <c r="D243" s="2">
        <v>0.6</v>
      </c>
      <c r="E243" s="3">
        <v>5.9999999999999996E-31</v>
      </c>
      <c r="F243">
        <v>46.75</v>
      </c>
      <c r="G243" t="str">
        <f>HYPERLINK("https://www.ncbi.nlm.nih.gov/nucleotide/XM_013428902.1?report=genbank&amp;log$=nucltop&amp;blast_rank=36&amp;RID=UJMCBTDU013","XM_013428902.1")</f>
        <v>XM_013428902.1</v>
      </c>
    </row>
    <row r="244" spans="1:7" x14ac:dyDescent="0.35">
      <c r="A244" t="s">
        <v>225</v>
      </c>
      <c r="B244">
        <v>133</v>
      </c>
      <c r="C244">
        <v>133</v>
      </c>
      <c r="D244" s="2">
        <v>0.59</v>
      </c>
      <c r="E244" s="3">
        <v>3.0000000000000002E-33</v>
      </c>
      <c r="F244">
        <v>46.71</v>
      </c>
      <c r="G244" t="str">
        <f>HYPERLINK("https://www.ncbi.nlm.nih.gov/nucleotide/XM_007722025.1?report=genbank&amp;log$=nucltop&amp;blast_rank=37&amp;RID=UJMCBTDU013","XM_007722025.1")</f>
        <v>XM_007722025.1</v>
      </c>
    </row>
    <row r="245" spans="1:7" x14ac:dyDescent="0.35">
      <c r="A245" t="s">
        <v>191</v>
      </c>
      <c r="B245">
        <v>129</v>
      </c>
      <c r="C245">
        <v>129</v>
      </c>
      <c r="D245" s="2">
        <v>0.59</v>
      </c>
      <c r="E245" s="3">
        <v>6.9999999999999997E-32</v>
      </c>
      <c r="F245">
        <v>46.71</v>
      </c>
      <c r="G245" t="str">
        <f>HYPERLINK("https://www.ncbi.nlm.nih.gov/nucleotide/XM_016379292.1?report=genbank&amp;log$=nucltop&amp;blast_rank=38&amp;RID=UJMCBTDU013","XM_016379292.1")</f>
        <v>XM_016379292.1</v>
      </c>
    </row>
    <row r="246" spans="1:7" x14ac:dyDescent="0.35">
      <c r="A246" t="s">
        <v>226</v>
      </c>
      <c r="B246">
        <v>126</v>
      </c>
      <c r="C246">
        <v>126</v>
      </c>
      <c r="D246" s="2">
        <v>0.6</v>
      </c>
      <c r="E246" s="3">
        <v>9.0000000000000008E-31</v>
      </c>
      <c r="F246">
        <v>46.1</v>
      </c>
      <c r="G246" t="str">
        <f>HYPERLINK("https://www.ncbi.nlm.nih.gov/nucleotide/XM_022653627.1?report=genbank&amp;log$=nucltop&amp;blast_rank=39&amp;RID=UJMCBTDU013","XM_022653627.1")</f>
        <v>XM_022653627.1</v>
      </c>
    </row>
    <row r="247" spans="1:7" x14ac:dyDescent="0.35">
      <c r="A247" t="s">
        <v>227</v>
      </c>
      <c r="B247">
        <v>126</v>
      </c>
      <c r="C247">
        <v>126</v>
      </c>
      <c r="D247" s="2">
        <v>0.6</v>
      </c>
      <c r="E247" s="3">
        <v>9.0000000000000008E-31</v>
      </c>
      <c r="F247">
        <v>46.1</v>
      </c>
      <c r="G247" t="str">
        <f>HYPERLINK("https://www.ncbi.nlm.nih.gov/nucleotide/XM_022645436.1?report=genbank&amp;log$=nucltop&amp;blast_rank=40&amp;RID=UJMCBTDU013","XM_022645436.1")</f>
        <v>XM_022645436.1</v>
      </c>
    </row>
    <row r="248" spans="1:7" x14ac:dyDescent="0.35">
      <c r="A248" t="s">
        <v>228</v>
      </c>
      <c r="B248">
        <v>133</v>
      </c>
      <c r="C248">
        <v>133</v>
      </c>
      <c r="D248" s="2">
        <v>0.6</v>
      </c>
      <c r="E248" s="3">
        <v>2.0000000000000002E-31</v>
      </c>
      <c r="F248">
        <v>45.81</v>
      </c>
      <c r="G248" t="str">
        <f>HYPERLINK("https://www.ncbi.nlm.nih.gov/nucleotide/LR026965.1?report=genbank&amp;log$=nucltop&amp;blast_rank=41&amp;RID=UJMCBTDU013","LR026965.1")</f>
        <v>LR026965.1</v>
      </c>
    </row>
    <row r="249" spans="1:7" x14ac:dyDescent="0.35">
      <c r="A249" t="s">
        <v>229</v>
      </c>
      <c r="B249">
        <v>132</v>
      </c>
      <c r="C249">
        <v>132</v>
      </c>
      <c r="D249" s="2">
        <v>0.6</v>
      </c>
      <c r="E249" s="3">
        <v>5.0000000000000004E-31</v>
      </c>
      <c r="F249">
        <v>45.81</v>
      </c>
      <c r="G249" t="str">
        <f>HYPERLINK("https://www.ncbi.nlm.nih.gov/nucleotide/CU640366.1?report=genbank&amp;log$=nucltop&amp;blast_rank=42&amp;RID=UJMCBTDU013","CU640366.1")</f>
        <v>CU640366.1</v>
      </c>
    </row>
    <row r="250" spans="1:7" x14ac:dyDescent="0.35">
      <c r="A250" t="s">
        <v>230</v>
      </c>
      <c r="B250">
        <v>132</v>
      </c>
      <c r="C250">
        <v>132</v>
      </c>
      <c r="D250" s="2">
        <v>0.6</v>
      </c>
      <c r="E250" s="3">
        <v>5.0000000000000004E-31</v>
      </c>
      <c r="F250">
        <v>45.81</v>
      </c>
      <c r="G250" t="str">
        <f>HYPERLINK("https://www.ncbi.nlm.nih.gov/nucleotide/FO904937.1?report=genbank&amp;log$=nucltop&amp;blast_rank=43&amp;RID=UJMCBTDU013","FO904937.1")</f>
        <v>FO904937.1</v>
      </c>
    </row>
    <row r="251" spans="1:7" x14ac:dyDescent="0.35">
      <c r="A251" t="s">
        <v>231</v>
      </c>
      <c r="B251">
        <v>171</v>
      </c>
      <c r="C251">
        <v>171</v>
      </c>
      <c r="D251" s="2">
        <v>0.8</v>
      </c>
      <c r="E251" s="3">
        <v>9.9999999999999997E-49</v>
      </c>
      <c r="F251">
        <v>45.41</v>
      </c>
      <c r="G251" t="str">
        <f>HYPERLINK("https://www.ncbi.nlm.nih.gov/nucleotide/XM_011122679.1?report=genbank&amp;log$=nucltop&amp;blast_rank=44&amp;RID=UJMCBTDU013","XM_011122679.1")</f>
        <v>XM_011122679.1</v>
      </c>
    </row>
    <row r="252" spans="1:7" x14ac:dyDescent="0.35">
      <c r="A252" t="s">
        <v>232</v>
      </c>
      <c r="B252">
        <v>151</v>
      </c>
      <c r="C252">
        <v>151</v>
      </c>
      <c r="D252" s="2">
        <v>0.77</v>
      </c>
      <c r="E252" s="3">
        <v>3.0000000000000002E-40</v>
      </c>
      <c r="F252">
        <v>44.72</v>
      </c>
      <c r="G252" t="str">
        <f>HYPERLINK("https://www.ncbi.nlm.nih.gov/nucleotide/XM_003352052.1?report=genbank&amp;log$=nucltop&amp;blast_rank=45&amp;RID=UJMCBTDU013","XM_003352052.1")</f>
        <v>XM_003352052.1</v>
      </c>
    </row>
    <row r="253" spans="1:7" x14ac:dyDescent="0.35">
      <c r="A253" t="s">
        <v>233</v>
      </c>
      <c r="B253">
        <v>151</v>
      </c>
      <c r="C253">
        <v>151</v>
      </c>
      <c r="D253" s="2">
        <v>0.8</v>
      </c>
      <c r="E253" s="3">
        <v>9.9999999999999993E-41</v>
      </c>
      <c r="F253">
        <v>44.23</v>
      </c>
      <c r="G253" t="str">
        <f>HYPERLINK("https://www.ncbi.nlm.nih.gov/nucleotide/XM_002842253.1?report=genbank&amp;log$=nucltop&amp;blast_rank=46&amp;RID=UJMCBTDU013","XM_002842253.1")</f>
        <v>XM_002842253.1</v>
      </c>
    </row>
    <row r="254" spans="1:7" x14ac:dyDescent="0.35">
      <c r="A254" t="s">
        <v>234</v>
      </c>
      <c r="B254">
        <v>137</v>
      </c>
      <c r="C254">
        <v>137</v>
      </c>
      <c r="D254" s="2">
        <v>0.77</v>
      </c>
      <c r="E254" s="3">
        <v>3.0000000000000002E-33</v>
      </c>
      <c r="F254">
        <v>44</v>
      </c>
      <c r="G254" t="str">
        <f>HYPERLINK("https://www.ncbi.nlm.nih.gov/nucleotide/XM_003662060.1?report=genbank&amp;log$=nucltop&amp;blast_rank=47&amp;RID=UJMCBTDU013","XM_003662060.1")</f>
        <v>XM_003662060.1</v>
      </c>
    </row>
    <row r="255" spans="1:7" x14ac:dyDescent="0.35">
      <c r="A255" t="s">
        <v>235</v>
      </c>
      <c r="B255">
        <v>146</v>
      </c>
      <c r="C255">
        <v>146</v>
      </c>
      <c r="D255" s="2">
        <v>0.77</v>
      </c>
      <c r="E255" s="3">
        <v>3.0000000000000002E-36</v>
      </c>
      <c r="F255">
        <v>43.72</v>
      </c>
      <c r="G255" t="str">
        <f>HYPERLINK("https://www.ncbi.nlm.nih.gov/nucleotide/XM_955647.2?report=genbank&amp;log$=nucltop&amp;blast_rank=48&amp;RID=UJMCBTDU013","XM_955647.2")</f>
        <v>XM_955647.2</v>
      </c>
    </row>
    <row r="256" spans="1:7" x14ac:dyDescent="0.35">
      <c r="A256" t="s">
        <v>236</v>
      </c>
      <c r="B256">
        <v>131</v>
      </c>
      <c r="C256">
        <v>131</v>
      </c>
      <c r="D256" s="2">
        <v>0.76</v>
      </c>
      <c r="E256" s="3">
        <v>4.0000000000000002E-32</v>
      </c>
      <c r="F256">
        <v>43.65</v>
      </c>
      <c r="G256" t="str">
        <f>HYPERLINK("https://www.ncbi.nlm.nih.gov/nucleotide/XM_003649649.1?report=genbank&amp;log$=nucltop&amp;blast_rank=49&amp;RID=UJMCBTDU013","XM_003649649.1")</f>
        <v>XM_003649649.1</v>
      </c>
    </row>
    <row r="257" spans="1:7" x14ac:dyDescent="0.35">
      <c r="A257" t="s">
        <v>237</v>
      </c>
      <c r="B257">
        <v>133</v>
      </c>
      <c r="C257">
        <v>133</v>
      </c>
      <c r="D257" s="2">
        <v>0.72</v>
      </c>
      <c r="E257" s="3">
        <v>2.9999999999999998E-31</v>
      </c>
      <c r="F257">
        <v>43.48</v>
      </c>
      <c r="G257" t="str">
        <f>HYPERLINK("https://www.ncbi.nlm.nih.gov/nucleotide/MG777491.1?report=genbank&amp;log$=nucltop&amp;blast_rank=50&amp;RID=UJMCBTDU013","MG777491.1")</f>
        <v>MG777491.1</v>
      </c>
    </row>
    <row r="258" spans="1:7" x14ac:dyDescent="0.35">
      <c r="A258" t="s">
        <v>238</v>
      </c>
      <c r="B258">
        <v>139</v>
      </c>
      <c r="C258">
        <v>139</v>
      </c>
      <c r="D258" s="2">
        <v>0.77</v>
      </c>
      <c r="E258" s="3">
        <v>5.9999999999999998E-35</v>
      </c>
      <c r="F258">
        <v>43.43</v>
      </c>
      <c r="G258" t="str">
        <f>HYPERLINK("https://www.ncbi.nlm.nih.gov/nucleotide/XM_018328867.1?report=genbank&amp;log$=nucltop&amp;blast_rank=51&amp;RID=UJMCBTDU013","XM_018328867.1")</f>
        <v>XM_018328867.1</v>
      </c>
    </row>
    <row r="259" spans="1:7" x14ac:dyDescent="0.35">
      <c r="A259" t="s">
        <v>239</v>
      </c>
      <c r="B259">
        <v>145</v>
      </c>
      <c r="C259">
        <v>145</v>
      </c>
      <c r="D259" s="2">
        <v>0.76</v>
      </c>
      <c r="E259" s="3">
        <v>2E-35</v>
      </c>
      <c r="F259">
        <v>43.37</v>
      </c>
      <c r="G259" t="str">
        <f>HYPERLINK("https://www.ncbi.nlm.nih.gov/nucleotide/AL451013.1?report=genbank&amp;log$=nucltop&amp;blast_rank=52&amp;RID=UJMCBTDU013","AL451013.1")</f>
        <v>AL451013.1</v>
      </c>
    </row>
    <row r="260" spans="1:7" x14ac:dyDescent="0.35">
      <c r="A260" s="4" t="s">
        <v>240</v>
      </c>
      <c r="B260" s="4">
        <v>124</v>
      </c>
      <c r="C260" s="4">
        <v>124</v>
      </c>
      <c r="D260" s="5">
        <v>0.72</v>
      </c>
      <c r="E260" s="6">
        <v>1.0000000000000001E-30</v>
      </c>
      <c r="F260" s="4">
        <v>43.32</v>
      </c>
      <c r="G260" s="4" t="str">
        <f>HYPERLINK("https://www.ncbi.nlm.nih.gov/nucleotide/XM_014691254.1?report=genbank&amp;log$=nucltop&amp;blast_rank=53&amp;RID=UJMCBTDU013","XM_014691254.1")</f>
        <v>XM_014691254.1</v>
      </c>
    </row>
    <row r="261" spans="1:7" x14ac:dyDescent="0.35">
      <c r="A261" t="s">
        <v>241</v>
      </c>
      <c r="B261">
        <v>127</v>
      </c>
      <c r="C261">
        <v>127</v>
      </c>
      <c r="D261" s="2">
        <v>0.6</v>
      </c>
      <c r="E261" s="3">
        <v>5.0000000000000004E-31</v>
      </c>
      <c r="F261">
        <v>43.23</v>
      </c>
      <c r="G261" t="str">
        <f>HYPERLINK("https://www.ncbi.nlm.nih.gov/nucleotide/XM_003236868.1?report=genbank&amp;log$=nucltop&amp;blast_rank=54&amp;RID=UJMCBTDU013","XM_003236868.1")</f>
        <v>XM_003236868.1</v>
      </c>
    </row>
    <row r="262" spans="1:7" x14ac:dyDescent="0.35">
      <c r="A262" t="s">
        <v>242</v>
      </c>
      <c r="B262">
        <v>145</v>
      </c>
      <c r="C262">
        <v>145</v>
      </c>
      <c r="D262" s="2">
        <v>0.76</v>
      </c>
      <c r="E262" s="3">
        <v>9.9999999999999996E-39</v>
      </c>
      <c r="F262">
        <v>43.08</v>
      </c>
      <c r="G262" t="str">
        <f>HYPERLINK("https://www.ncbi.nlm.nih.gov/nucleotide/XM_007295640.1?report=genbank&amp;log$=nucltop&amp;blast_rank=55&amp;RID=UJMCBTDU013","XM_007295640.1")</f>
        <v>XM_007295640.1</v>
      </c>
    </row>
    <row r="263" spans="1:7" x14ac:dyDescent="0.35">
      <c r="A263" t="s">
        <v>243</v>
      </c>
      <c r="B263">
        <v>127</v>
      </c>
      <c r="C263">
        <v>127</v>
      </c>
      <c r="D263" s="2">
        <v>0.62</v>
      </c>
      <c r="E263" s="3">
        <v>5.0000000000000004E-31</v>
      </c>
      <c r="F263">
        <v>43.04</v>
      </c>
      <c r="G263" t="str">
        <f>HYPERLINK("https://www.ncbi.nlm.nih.gov/nucleotide/XM_033536932.1?report=genbank&amp;log$=nucltop&amp;blast_rank=56&amp;RID=UJMCBTDU013","XM_033536932.1")</f>
        <v>XM_033536932.1</v>
      </c>
    </row>
    <row r="264" spans="1:7" x14ac:dyDescent="0.35">
      <c r="A264" t="s">
        <v>244</v>
      </c>
      <c r="B264">
        <v>142</v>
      </c>
      <c r="C264">
        <v>142</v>
      </c>
      <c r="D264" s="2">
        <v>0.77</v>
      </c>
      <c r="E264" s="3">
        <v>3E-37</v>
      </c>
      <c r="F264">
        <v>42.93</v>
      </c>
      <c r="G264" t="str">
        <f>HYPERLINK("https://www.ncbi.nlm.nih.gov/nucleotide/XM_008081488.1?report=genbank&amp;log$=nucltop&amp;blast_rank=57&amp;RID=UJMCBTDU013","XM_008081488.1")</f>
        <v>XM_008081488.1</v>
      </c>
    </row>
    <row r="265" spans="1:7" x14ac:dyDescent="0.35">
      <c r="A265" t="s">
        <v>245</v>
      </c>
      <c r="B265">
        <v>196</v>
      </c>
      <c r="C265">
        <v>196</v>
      </c>
      <c r="D265" s="2">
        <v>0.97</v>
      </c>
      <c r="E265" s="3">
        <v>7.0000000000000002E-59</v>
      </c>
      <c r="F265">
        <v>42.86</v>
      </c>
      <c r="G265" t="str">
        <f>HYPERLINK("https://www.ncbi.nlm.nih.gov/nucleotide/XM_001836371.2?report=genbank&amp;log$=nucltop&amp;blast_rank=58&amp;RID=UJMCBTDU013","XM_001836371.2")</f>
        <v>XM_001836371.2</v>
      </c>
    </row>
    <row r="266" spans="1:7" x14ac:dyDescent="0.35">
      <c r="A266" t="s">
        <v>246</v>
      </c>
      <c r="B266">
        <v>143</v>
      </c>
      <c r="C266">
        <v>143</v>
      </c>
      <c r="D266" s="2">
        <v>0.77</v>
      </c>
      <c r="E266" s="3">
        <v>9.0000000000000008E-37</v>
      </c>
      <c r="F266">
        <v>42.71</v>
      </c>
      <c r="G266" t="str">
        <f>HYPERLINK("https://www.ncbi.nlm.nih.gov/nucleotide/XM_009850061.1?report=genbank&amp;log$=nucltop&amp;blast_rank=59&amp;RID=UJMCBTDU013","XM_009850061.1")</f>
        <v>XM_009850061.1</v>
      </c>
    </row>
    <row r="267" spans="1:7" x14ac:dyDescent="0.35">
      <c r="A267" t="s">
        <v>247</v>
      </c>
      <c r="B267">
        <v>149</v>
      </c>
      <c r="C267">
        <v>149</v>
      </c>
      <c r="D267" s="2">
        <v>0.78</v>
      </c>
      <c r="E267" s="3">
        <v>5.9999999999999998E-38</v>
      </c>
      <c r="F267">
        <v>42.5</v>
      </c>
      <c r="G267" t="str">
        <f>HYPERLINK("https://www.ncbi.nlm.nih.gov/nucleotide/XM_033744228.1?report=genbank&amp;log$=nucltop&amp;blast_rank=60&amp;RID=UJMCBTDU013","XM_033744228.1")</f>
        <v>XM_033744228.1</v>
      </c>
    </row>
    <row r="268" spans="1:7" x14ac:dyDescent="0.35">
      <c r="A268" t="s">
        <v>248</v>
      </c>
      <c r="B268">
        <v>136</v>
      </c>
      <c r="C268">
        <v>136</v>
      </c>
      <c r="D268" s="2">
        <v>0.78</v>
      </c>
      <c r="E268" s="3">
        <v>3.9999999999999997E-34</v>
      </c>
      <c r="F268">
        <v>42.29</v>
      </c>
      <c r="G268" t="str">
        <f>HYPERLINK("https://www.ncbi.nlm.nih.gov/nucleotide/XM_007930639.1?report=genbank&amp;log$=nucltop&amp;blast_rank=61&amp;RID=UJMCBTDU013","XM_007930639.1")</f>
        <v>XM_007930639.1</v>
      </c>
    </row>
    <row r="269" spans="1:7" x14ac:dyDescent="0.35">
      <c r="A269" t="s">
        <v>249</v>
      </c>
      <c r="B269">
        <v>140</v>
      </c>
      <c r="C269">
        <v>140</v>
      </c>
      <c r="D269" s="2">
        <v>0.76</v>
      </c>
      <c r="E269" s="3">
        <v>3.0000000000000002E-36</v>
      </c>
      <c r="F269">
        <v>42.13</v>
      </c>
      <c r="G269" t="str">
        <f>HYPERLINK("https://www.ncbi.nlm.nih.gov/nucleotide/XM_009650293.1?report=genbank&amp;log$=nucltop&amp;blast_rank=62&amp;RID=UJMCBTDU013","XM_009650293.1")</f>
        <v>XM_009650293.1</v>
      </c>
    </row>
    <row r="270" spans="1:7" x14ac:dyDescent="0.35">
      <c r="A270" t="s">
        <v>250</v>
      </c>
      <c r="B270">
        <v>141</v>
      </c>
      <c r="C270">
        <v>141</v>
      </c>
      <c r="D270" s="2">
        <v>0.76</v>
      </c>
      <c r="E270" s="3">
        <v>3.9999999999999997E-34</v>
      </c>
      <c r="F270">
        <v>42.13</v>
      </c>
      <c r="G270" t="str">
        <f>HYPERLINK("https://www.ncbi.nlm.nih.gov/nucleotide/CP010980.1?report=genbank&amp;log$=nucltop&amp;blast_rank=63&amp;RID=UJMCBTDU013","CP010980.1")</f>
        <v>CP010980.1</v>
      </c>
    </row>
    <row r="271" spans="1:7" x14ac:dyDescent="0.35">
      <c r="A271" t="s">
        <v>251</v>
      </c>
      <c r="B271">
        <v>141</v>
      </c>
      <c r="C271">
        <v>141</v>
      </c>
      <c r="D271" s="2">
        <v>0.76</v>
      </c>
      <c r="E271" s="3">
        <v>3.9999999999999997E-34</v>
      </c>
      <c r="F271">
        <v>42.13</v>
      </c>
      <c r="G271" t="str">
        <f>HYPERLINK("https://www.ncbi.nlm.nih.gov/nucleotide/CP009075.1?report=genbank&amp;log$=nucltop&amp;blast_rank=64&amp;RID=UJMCBTDU013","CP009075.1")</f>
        <v>CP009075.1</v>
      </c>
    </row>
    <row r="272" spans="1:7" x14ac:dyDescent="0.35">
      <c r="A272" t="s">
        <v>252</v>
      </c>
      <c r="B272">
        <v>141</v>
      </c>
      <c r="C272">
        <v>141</v>
      </c>
      <c r="D272" s="2">
        <v>0.79</v>
      </c>
      <c r="E272" s="3">
        <v>1.9999999999999999E-36</v>
      </c>
      <c r="F272">
        <v>42.08</v>
      </c>
      <c r="G272" t="str">
        <f>HYPERLINK("https://www.ncbi.nlm.nih.gov/nucleotide/XM_018174954.1?report=genbank&amp;log$=nucltop&amp;blast_rank=65&amp;RID=UJMCBTDU013","XM_018174954.1")</f>
        <v>XM_018174954.1</v>
      </c>
    </row>
    <row r="273" spans="1:7" x14ac:dyDescent="0.35">
      <c r="A273" t="s">
        <v>253</v>
      </c>
      <c r="B273">
        <v>140</v>
      </c>
      <c r="C273">
        <v>140</v>
      </c>
      <c r="D273" s="2">
        <v>0.78</v>
      </c>
      <c r="E273" s="3">
        <v>4E-35</v>
      </c>
      <c r="F273">
        <v>42</v>
      </c>
      <c r="G273" t="str">
        <f>HYPERLINK("https://www.ncbi.nlm.nih.gov/nucleotide/XM_033719977.1?report=genbank&amp;log$=nucltop&amp;blast_rank=66&amp;RID=UJMCBTDU013","XM_033719977.1")</f>
        <v>XM_033719977.1</v>
      </c>
    </row>
    <row r="274" spans="1:7" x14ac:dyDescent="0.35">
      <c r="A274" t="s">
        <v>254</v>
      </c>
      <c r="B274">
        <v>149</v>
      </c>
      <c r="C274">
        <v>149</v>
      </c>
      <c r="D274" s="2">
        <v>0.79</v>
      </c>
      <c r="E274" s="3">
        <v>4.9999999999999996E-40</v>
      </c>
      <c r="F274">
        <v>41.87</v>
      </c>
      <c r="G274" t="str">
        <f>HYPERLINK("https://www.ncbi.nlm.nih.gov/nucleotide/XM_018276579.1?report=genbank&amp;log$=nucltop&amp;blast_rank=67&amp;RID=UJMCBTDU013","XM_018276579.1")</f>
        <v>XM_018276579.1</v>
      </c>
    </row>
    <row r="275" spans="1:7" x14ac:dyDescent="0.35">
      <c r="A275" t="s">
        <v>255</v>
      </c>
      <c r="B275">
        <v>144</v>
      </c>
      <c r="C275">
        <v>144</v>
      </c>
      <c r="D275" s="2">
        <v>0.77</v>
      </c>
      <c r="E275" s="3">
        <v>3.0000000000000002E-36</v>
      </c>
      <c r="F275">
        <v>41.62</v>
      </c>
      <c r="G275" t="str">
        <f>HYPERLINK("https://www.ncbi.nlm.nih.gov/nucleotide/XM_033533880.1?report=genbank&amp;log$=nucltop&amp;blast_rank=68&amp;RID=UJMCBTDU013","XM_033533880.1")</f>
        <v>XM_033533880.1</v>
      </c>
    </row>
    <row r="276" spans="1:7" x14ac:dyDescent="0.35">
      <c r="A276" t="s">
        <v>147</v>
      </c>
      <c r="B276">
        <v>130</v>
      </c>
      <c r="C276">
        <v>130</v>
      </c>
      <c r="D276" s="2">
        <v>0.77</v>
      </c>
      <c r="E276" s="3">
        <v>3E-32</v>
      </c>
      <c r="F276">
        <v>41.62</v>
      </c>
      <c r="G276" t="str">
        <f>HYPERLINK("https://www.ncbi.nlm.nih.gov/nucleotide/XM_007741154.1?report=genbank&amp;log$=nucltop&amp;blast_rank=69&amp;RID=UJMCBTDU013","XM_007741154.1")</f>
        <v>XM_007741154.1</v>
      </c>
    </row>
    <row r="277" spans="1:7" x14ac:dyDescent="0.35">
      <c r="A277" t="s">
        <v>148</v>
      </c>
      <c r="B277">
        <v>130</v>
      </c>
      <c r="C277">
        <v>130</v>
      </c>
      <c r="D277" s="2">
        <v>0.77</v>
      </c>
      <c r="E277" s="3">
        <v>3E-32</v>
      </c>
      <c r="F277">
        <v>41.62</v>
      </c>
      <c r="G277" t="str">
        <f>HYPERLINK("https://www.ncbi.nlm.nih.gov/nucleotide/XM_016758299.1?report=genbank&amp;log$=nucltop&amp;blast_rank=70&amp;RID=UJMCBTDU013","XM_016758299.1")</f>
        <v>XM_016758299.1</v>
      </c>
    </row>
    <row r="278" spans="1:7" x14ac:dyDescent="0.35">
      <c r="A278" s="4" t="s">
        <v>256</v>
      </c>
      <c r="B278" s="4">
        <v>131</v>
      </c>
      <c r="C278" s="4">
        <v>131</v>
      </c>
      <c r="D278" s="5">
        <v>0.8</v>
      </c>
      <c r="E278" s="6">
        <v>8.0000000000000007E-31</v>
      </c>
      <c r="F278" s="4">
        <v>41.55</v>
      </c>
      <c r="G278" s="4" t="str">
        <f>HYPERLINK("https://www.ncbi.nlm.nih.gov/nucleotide/XM_031720476.1?report=genbank&amp;log$=nucltop&amp;blast_rank=71&amp;RID=UJMCBTDU013","XM_031720476.1")</f>
        <v>XM_031720476.1</v>
      </c>
    </row>
    <row r="279" spans="1:7" x14ac:dyDescent="0.35">
      <c r="A279" s="4" t="s">
        <v>257</v>
      </c>
      <c r="B279" s="4">
        <v>138</v>
      </c>
      <c r="C279" s="4">
        <v>138</v>
      </c>
      <c r="D279" s="5">
        <v>0.78</v>
      </c>
      <c r="E279" s="6">
        <v>6.9999999999999999E-35</v>
      </c>
      <c r="F279" s="4">
        <v>41.29</v>
      </c>
      <c r="G279" s="4" t="str">
        <f>HYPERLINK("https://www.ncbi.nlm.nih.gov/nucleotide/XM_003851169.1?report=genbank&amp;log$=nucltop&amp;blast_rank=72&amp;RID=UJMCBTDU013","XM_003851169.1")</f>
        <v>XM_003851169.1</v>
      </c>
    </row>
    <row r="280" spans="1:7" x14ac:dyDescent="0.35">
      <c r="A280" t="s">
        <v>258</v>
      </c>
      <c r="B280">
        <v>143</v>
      </c>
      <c r="C280">
        <v>143</v>
      </c>
      <c r="D280" s="2">
        <v>0.77</v>
      </c>
      <c r="E280" s="3">
        <v>1.0000000000000001E-37</v>
      </c>
      <c r="F280">
        <v>41.03</v>
      </c>
      <c r="G280" t="str">
        <f>HYPERLINK("https://www.ncbi.nlm.nih.gov/nucleotide/XM_019169675.1?report=genbank&amp;log$=nucltop&amp;blast_rank=73&amp;RID=UJMCBTDU013","XM_019169675.1")</f>
        <v>XM_019169675.1</v>
      </c>
    </row>
    <row r="281" spans="1:7" x14ac:dyDescent="0.35">
      <c r="A281" t="s">
        <v>139</v>
      </c>
      <c r="B281">
        <v>136</v>
      </c>
      <c r="C281">
        <v>136</v>
      </c>
      <c r="D281" s="2">
        <v>0.77</v>
      </c>
      <c r="E281" s="3">
        <v>1.0000000000000001E-32</v>
      </c>
      <c r="F281">
        <v>40.909999999999997</v>
      </c>
      <c r="G281" t="str">
        <f>HYPERLINK("https://www.ncbi.nlm.nih.gov/nucleotide/XM_016366306.1?report=genbank&amp;log$=nucltop&amp;blast_rank=74&amp;RID=UJMCBTDU013","XM_016366306.1")</f>
        <v>XM_016366306.1</v>
      </c>
    </row>
    <row r="282" spans="1:7" x14ac:dyDescent="0.35">
      <c r="A282" t="s">
        <v>259</v>
      </c>
      <c r="B282">
        <v>138</v>
      </c>
      <c r="C282">
        <v>138</v>
      </c>
      <c r="D282" s="2">
        <v>0.78</v>
      </c>
      <c r="E282" s="3">
        <v>1E-35</v>
      </c>
      <c r="F282">
        <v>40.799999999999997</v>
      </c>
      <c r="G282" t="str">
        <f>HYPERLINK("https://www.ncbi.nlm.nih.gov/nucleotide/XM_033805656.1?report=genbank&amp;log$=nucltop&amp;blast_rank=75&amp;RID=UJMCBTDU013","XM_033805656.1")</f>
        <v>XM_033805656.1</v>
      </c>
    </row>
    <row r="283" spans="1:7" x14ac:dyDescent="0.35">
      <c r="A283" s="4" t="s">
        <v>260</v>
      </c>
      <c r="B283" s="4">
        <v>138</v>
      </c>
      <c r="C283" s="4">
        <v>138</v>
      </c>
      <c r="D283" s="5">
        <v>0.78</v>
      </c>
      <c r="E283" s="6">
        <v>2E-35</v>
      </c>
      <c r="F283" s="4">
        <v>40.799999999999997</v>
      </c>
      <c r="G283" s="4" t="str">
        <f>HYPERLINK("https://www.ncbi.nlm.nih.gov/nucleotide/XM_023769316.1?report=genbank&amp;log$=nucltop&amp;blast_rank=76&amp;RID=UJMCBTDU013","XM_023769316.1")</f>
        <v>XM_023769316.1</v>
      </c>
    </row>
    <row r="284" spans="1:7" x14ac:dyDescent="0.35">
      <c r="A284" t="s">
        <v>261</v>
      </c>
      <c r="B284">
        <v>127</v>
      </c>
      <c r="C284">
        <v>127</v>
      </c>
      <c r="D284" s="2">
        <v>0.78</v>
      </c>
      <c r="E284" s="3">
        <v>1.0000000000000001E-31</v>
      </c>
      <c r="F284">
        <v>40.799999999999997</v>
      </c>
      <c r="G284" t="str">
        <f>HYPERLINK("https://www.ncbi.nlm.nih.gov/nucleotide/XM_007836483.1?report=genbank&amp;log$=nucltop&amp;blast_rank=77&amp;RID=UJMCBTDU013","XM_007836483.1")</f>
        <v>XM_007836483.1</v>
      </c>
    </row>
    <row r="285" spans="1:7" x14ac:dyDescent="0.35">
      <c r="A285" t="s">
        <v>262</v>
      </c>
      <c r="B285">
        <v>130</v>
      </c>
      <c r="C285">
        <v>130</v>
      </c>
      <c r="D285" s="2">
        <v>0.78</v>
      </c>
      <c r="E285" s="3">
        <v>2.9999999999999998E-31</v>
      </c>
      <c r="F285">
        <v>40.5</v>
      </c>
      <c r="G285" t="str">
        <f>HYPERLINK("https://www.ncbi.nlm.nih.gov/nucleotide/XM_024881431.1?report=genbank&amp;log$=nucltop&amp;blast_rank=78&amp;RID=UJMCBTDU013","XM_024881431.1")</f>
        <v>XM_024881431.1</v>
      </c>
    </row>
    <row r="286" spans="1:7" x14ac:dyDescent="0.35">
      <c r="A286" t="s">
        <v>263</v>
      </c>
      <c r="B286">
        <v>130</v>
      </c>
      <c r="C286">
        <v>130</v>
      </c>
      <c r="D286" s="2">
        <v>0.78</v>
      </c>
      <c r="E286" s="3">
        <v>4.0000000000000003E-31</v>
      </c>
      <c r="F286">
        <v>40.1</v>
      </c>
      <c r="G286" t="str">
        <f>HYPERLINK("https://www.ncbi.nlm.nih.gov/nucleotide/XM_016906615.1?report=genbank&amp;log$=nucltop&amp;blast_rank=79&amp;RID=UJMCBTDU013","XM_016906615.1")</f>
        <v>XM_016906615.1</v>
      </c>
    </row>
    <row r="287" spans="1:7" x14ac:dyDescent="0.35">
      <c r="A287" t="s">
        <v>264</v>
      </c>
      <c r="B287">
        <v>135</v>
      </c>
      <c r="C287">
        <v>135</v>
      </c>
      <c r="D287" s="2">
        <v>0.76</v>
      </c>
      <c r="E287" s="3">
        <v>1.9999999999999999E-34</v>
      </c>
      <c r="F287">
        <v>40</v>
      </c>
      <c r="G287" t="str">
        <f>HYPERLINK("https://www.ncbi.nlm.nih.gov/nucleotide/XM_009154513.1?report=genbank&amp;log$=nucltop&amp;blast_rank=80&amp;RID=UJMCBTDU013","XM_009154513.1")</f>
        <v>XM_009154513.1</v>
      </c>
    </row>
    <row r="288" spans="1:7" x14ac:dyDescent="0.35">
      <c r="A288" t="s">
        <v>265</v>
      </c>
      <c r="B288">
        <v>138</v>
      </c>
      <c r="C288">
        <v>138</v>
      </c>
      <c r="D288" s="2">
        <v>0.78</v>
      </c>
      <c r="E288" s="3">
        <v>7.9999999999999994E-34</v>
      </c>
      <c r="F288">
        <v>40</v>
      </c>
      <c r="G288" t="str">
        <f>HYPERLINK("https://www.ncbi.nlm.nih.gov/nucleotide/XM_018215251.1?report=genbank&amp;log$=nucltop&amp;blast_rank=81&amp;RID=UJMCBTDU013","XM_018215251.1")</f>
        <v>XM_018215251.1</v>
      </c>
    </row>
    <row r="289" spans="1:7" x14ac:dyDescent="0.35">
      <c r="A289" t="s">
        <v>266</v>
      </c>
      <c r="B289">
        <v>135</v>
      </c>
      <c r="C289">
        <v>135</v>
      </c>
      <c r="D289" s="2">
        <v>0.81</v>
      </c>
      <c r="E289" s="3">
        <v>3.0000000000000002E-33</v>
      </c>
      <c r="F289">
        <v>39.9</v>
      </c>
      <c r="G289" t="str">
        <f>HYPERLINK("https://www.ncbi.nlm.nih.gov/nucleotide/XM_007683500.1?report=genbank&amp;log$=nucltop&amp;blast_rank=82&amp;RID=UJMCBTDU013","XM_007683500.1")</f>
        <v>XM_007683500.1</v>
      </c>
    </row>
    <row r="290" spans="1:7" x14ac:dyDescent="0.35">
      <c r="A290" s="4" t="s">
        <v>267</v>
      </c>
      <c r="B290" s="4">
        <v>125</v>
      </c>
      <c r="C290" s="4">
        <v>125</v>
      </c>
      <c r="D290" s="5">
        <v>0.77</v>
      </c>
      <c r="E290" s="6">
        <v>2.0000000000000002E-30</v>
      </c>
      <c r="F290" s="4">
        <v>39.799999999999997</v>
      </c>
      <c r="G290" s="4" t="str">
        <f>HYPERLINK("https://www.ncbi.nlm.nih.gov/nucleotide/XM_745463.1?report=genbank&amp;log$=nucltop&amp;blast_rank=83&amp;RID=UJMCBTDU013","XM_745463.1")</f>
        <v>XM_745463.1</v>
      </c>
    </row>
    <row r="291" spans="1:7" x14ac:dyDescent="0.35">
      <c r="A291" s="4" t="s">
        <v>268</v>
      </c>
      <c r="B291" s="4">
        <v>130</v>
      </c>
      <c r="C291" s="4">
        <v>130</v>
      </c>
      <c r="D291" s="5">
        <v>0.76</v>
      </c>
      <c r="E291" s="6">
        <v>6.9999999999999997E-33</v>
      </c>
      <c r="F291" s="4">
        <v>39.700000000000003</v>
      </c>
      <c r="G291" s="4" t="str">
        <f>HYPERLINK("https://www.ncbi.nlm.nih.gov/nucleotide/XM_016742376.1?report=genbank&amp;log$=nucltop&amp;blast_rank=84&amp;RID=UJMCBTDU013","XM_016742376.1")</f>
        <v>XM_016742376.1</v>
      </c>
    </row>
    <row r="292" spans="1:7" x14ac:dyDescent="0.35">
      <c r="A292" t="s">
        <v>269</v>
      </c>
      <c r="B292">
        <v>139</v>
      </c>
      <c r="C292">
        <v>139</v>
      </c>
      <c r="D292" s="2">
        <v>0.76</v>
      </c>
      <c r="E292" s="3">
        <v>1E-35</v>
      </c>
      <c r="F292">
        <v>39.29</v>
      </c>
      <c r="G292" t="str">
        <f>HYPERLINK("https://www.ncbi.nlm.nih.gov/nucleotide/XM_028655763.1?report=genbank&amp;log$=nucltop&amp;blast_rank=85&amp;RID=UJMCBTDU013","XM_028655763.1")</f>
        <v>XM_028655763.1</v>
      </c>
    </row>
    <row r="293" spans="1:7" x14ac:dyDescent="0.35">
      <c r="A293" t="s">
        <v>270</v>
      </c>
      <c r="B293">
        <v>139</v>
      </c>
      <c r="C293">
        <v>139</v>
      </c>
      <c r="D293" s="2">
        <v>0.76</v>
      </c>
      <c r="E293" s="3">
        <v>1E-35</v>
      </c>
      <c r="F293">
        <v>39.29</v>
      </c>
      <c r="G293" t="str">
        <f>HYPERLINK("https://www.ncbi.nlm.nih.gov/nucleotide/XM_018534397.1?report=genbank&amp;log$=nucltop&amp;blast_rank=86&amp;RID=UJMCBTDU013","XM_018534397.1")</f>
        <v>XM_018534397.1</v>
      </c>
    </row>
    <row r="294" spans="1:7" x14ac:dyDescent="0.35">
      <c r="A294" t="s">
        <v>271</v>
      </c>
      <c r="B294">
        <v>129</v>
      </c>
      <c r="C294">
        <v>129</v>
      </c>
      <c r="D294" s="2">
        <v>0.76</v>
      </c>
      <c r="E294" s="3">
        <v>3E-32</v>
      </c>
      <c r="F294">
        <v>39.200000000000003</v>
      </c>
      <c r="G294" t="str">
        <f>HYPERLINK("https://www.ncbi.nlm.nih.gov/nucleotide/XM_014675514.1?report=genbank&amp;log$=nucltop&amp;blast_rank=87&amp;RID=UJMCBTDU013","XM_014675514.1")</f>
        <v>XM_014675514.1</v>
      </c>
    </row>
    <row r="295" spans="1:7" x14ac:dyDescent="0.35">
      <c r="A295" t="s">
        <v>272</v>
      </c>
      <c r="B295">
        <v>137</v>
      </c>
      <c r="C295">
        <v>137</v>
      </c>
      <c r="D295" s="2">
        <v>0.78</v>
      </c>
      <c r="E295" s="3">
        <v>9.9999999999999993E-35</v>
      </c>
      <c r="F295">
        <v>39.11</v>
      </c>
      <c r="G295" t="str">
        <f>HYPERLINK("https://www.ncbi.nlm.nih.gov/nucleotide/XM_001911327.1?report=genbank&amp;log$=nucltop&amp;blast_rank=88&amp;RID=UJMCBTDU013","XM_001911327.1")</f>
        <v>XM_001911327.1</v>
      </c>
    </row>
    <row r="296" spans="1:7" x14ac:dyDescent="0.35">
      <c r="A296" t="s">
        <v>273</v>
      </c>
      <c r="B296">
        <v>132</v>
      </c>
      <c r="C296">
        <v>132</v>
      </c>
      <c r="D296" s="2">
        <v>0.78</v>
      </c>
      <c r="E296" s="3">
        <v>6.0000000000000003E-33</v>
      </c>
      <c r="F296">
        <v>39</v>
      </c>
      <c r="G296" t="str">
        <f>HYPERLINK("https://www.ncbi.nlm.nih.gov/nucleotide/XM_007788590.1?report=genbank&amp;log$=nucltop&amp;blast_rank=89&amp;RID=UJMCBTDU013","XM_007788590.1")</f>
        <v>XM_007788590.1</v>
      </c>
    </row>
    <row r="297" spans="1:7" x14ac:dyDescent="0.35">
      <c r="A297" t="s">
        <v>135</v>
      </c>
      <c r="B297">
        <v>127</v>
      </c>
      <c r="C297">
        <v>127</v>
      </c>
      <c r="D297" s="2">
        <v>0.76</v>
      </c>
      <c r="E297" s="3">
        <v>4.0000000000000003E-31</v>
      </c>
      <c r="F297">
        <v>38.97</v>
      </c>
      <c r="G297" t="str">
        <f>HYPERLINK("https://www.ncbi.nlm.nih.gov/nucleotide/XM_007737879.1?report=genbank&amp;log$=nucltop&amp;blast_rank=90&amp;RID=UJMCBTDU013","XM_007737879.1")</f>
        <v>XM_007737879.1</v>
      </c>
    </row>
    <row r="298" spans="1:7" x14ac:dyDescent="0.35">
      <c r="A298" t="s">
        <v>274</v>
      </c>
      <c r="B298">
        <v>137</v>
      </c>
      <c r="C298">
        <v>137</v>
      </c>
      <c r="D298" s="2">
        <v>0.76</v>
      </c>
      <c r="E298" s="3">
        <v>8.0000000000000001E-35</v>
      </c>
      <c r="F298">
        <v>38.78</v>
      </c>
      <c r="G298" t="str">
        <f>HYPERLINK("https://www.ncbi.nlm.nih.gov/nucleotide/XM_008033263.1?report=genbank&amp;log$=nucltop&amp;blast_rank=91&amp;RID=UJMCBTDU013","XM_008033263.1")</f>
        <v>XM_008033263.1</v>
      </c>
    </row>
    <row r="299" spans="1:7" x14ac:dyDescent="0.35">
      <c r="A299" t="s">
        <v>275</v>
      </c>
      <c r="B299">
        <v>127</v>
      </c>
      <c r="C299">
        <v>127</v>
      </c>
      <c r="D299" s="2">
        <v>0.76</v>
      </c>
      <c r="E299" s="3">
        <v>1.0000000000000001E-31</v>
      </c>
      <c r="F299">
        <v>38.19</v>
      </c>
      <c r="G299" t="str">
        <f>HYPERLINK("https://www.ncbi.nlm.nih.gov/nucleotide/XM_002560097.1?report=genbank&amp;log$=nucltop&amp;blast_rank=92&amp;RID=UJMCBTDU013","XM_002560097.1")</f>
        <v>XM_002560097.1</v>
      </c>
    </row>
    <row r="300" spans="1:7" x14ac:dyDescent="0.35">
      <c r="A300" t="s">
        <v>276</v>
      </c>
      <c r="B300">
        <v>126</v>
      </c>
      <c r="C300">
        <v>126</v>
      </c>
      <c r="D300" s="2">
        <v>0.78</v>
      </c>
      <c r="E300" s="3">
        <v>2.0000000000000002E-31</v>
      </c>
      <c r="F300">
        <v>37.93</v>
      </c>
      <c r="G300" t="str">
        <f>HYPERLINK("https://www.ncbi.nlm.nih.gov/nucleotide/XM_024466619.1?report=genbank&amp;log$=nucltop&amp;blast_rank=93&amp;RID=UJMCBTDU013","XM_024466619.1")</f>
        <v>XM_024466619.1</v>
      </c>
    </row>
    <row r="301" spans="1:7" x14ac:dyDescent="0.35">
      <c r="A301" t="s">
        <v>277</v>
      </c>
      <c r="B301">
        <v>132</v>
      </c>
      <c r="C301">
        <v>132</v>
      </c>
      <c r="D301" s="2">
        <v>0.8</v>
      </c>
      <c r="E301" s="3">
        <v>6.9999999999999997E-32</v>
      </c>
      <c r="F301">
        <v>37.86</v>
      </c>
      <c r="G301" t="str">
        <f>HYPERLINK("https://www.ncbi.nlm.nih.gov/nucleotide/XM_033803268.1?report=genbank&amp;log$=nucltop&amp;blast_rank=94&amp;RID=UJMCBTDU013","XM_033803268.1")</f>
        <v>XM_033803268.1</v>
      </c>
    </row>
    <row r="302" spans="1:7" x14ac:dyDescent="0.35">
      <c r="A302" t="s">
        <v>278</v>
      </c>
      <c r="B302">
        <v>135</v>
      </c>
      <c r="C302">
        <v>135</v>
      </c>
      <c r="D302" s="2">
        <v>0.79</v>
      </c>
      <c r="E302" s="3">
        <v>3.0000000000000002E-33</v>
      </c>
      <c r="F302">
        <v>37.619999999999997</v>
      </c>
      <c r="G302" t="str">
        <f>HYPERLINK("https://www.ncbi.nlm.nih.gov/nucleotide/XM_001933154.1?report=genbank&amp;log$=nucltop&amp;blast_rank=95&amp;RID=UJMCBTDU013","XM_001933154.1")</f>
        <v>XM_001933154.1</v>
      </c>
    </row>
    <row r="303" spans="1:7" x14ac:dyDescent="0.35">
      <c r="A303" t="s">
        <v>279</v>
      </c>
      <c r="B303">
        <v>141</v>
      </c>
      <c r="C303">
        <v>141</v>
      </c>
      <c r="D303" s="2">
        <v>0.93</v>
      </c>
      <c r="E303" s="3">
        <v>4.9999999999999997E-37</v>
      </c>
      <c r="F303">
        <v>37.6</v>
      </c>
      <c r="G303" t="str">
        <f>HYPERLINK("https://www.ncbi.nlm.nih.gov/nucleotide/XM_028635266.1?report=genbank&amp;log$=nucltop&amp;blast_rank=96&amp;RID=UJMCBTDU013","XM_028635266.1")</f>
        <v>XM_028635266.1</v>
      </c>
    </row>
    <row r="304" spans="1:7" x14ac:dyDescent="0.35">
      <c r="A304" t="s">
        <v>280</v>
      </c>
      <c r="B304">
        <v>131</v>
      </c>
      <c r="C304">
        <v>131</v>
      </c>
      <c r="D304" s="2">
        <v>0.76</v>
      </c>
      <c r="E304" s="3">
        <v>1.0000000000000001E-31</v>
      </c>
      <c r="F304">
        <v>37.24</v>
      </c>
      <c r="G304" t="str">
        <f>HYPERLINK("https://www.ncbi.nlm.nih.gov/nucleotide/XM_033701610.1?report=genbank&amp;log$=nucltop&amp;blast_rank=97&amp;RID=UJMCBTDU013","XM_033701610.1")</f>
        <v>XM_033701610.1</v>
      </c>
    </row>
    <row r="305" spans="1:7" x14ac:dyDescent="0.35">
      <c r="A305" t="s">
        <v>281</v>
      </c>
      <c r="B305">
        <v>131</v>
      </c>
      <c r="C305">
        <v>131</v>
      </c>
      <c r="D305" s="2">
        <v>0.78</v>
      </c>
      <c r="E305" s="3">
        <v>2.0000000000000001E-32</v>
      </c>
      <c r="F305">
        <v>37</v>
      </c>
      <c r="G305" t="str">
        <f>HYPERLINK("https://www.ncbi.nlm.nih.gov/nucleotide/XM_007704195.1?report=genbank&amp;log$=nucltop&amp;blast_rank=98&amp;RID=UJMCBTDU013","XM_007704195.1")</f>
        <v>XM_007704195.1</v>
      </c>
    </row>
    <row r="306" spans="1:7" x14ac:dyDescent="0.35">
      <c r="A306" t="s">
        <v>282</v>
      </c>
      <c r="B306">
        <v>152</v>
      </c>
      <c r="C306">
        <v>152</v>
      </c>
      <c r="D306" s="2">
        <v>0.98</v>
      </c>
      <c r="E306" s="3">
        <v>4.9999999999999996E-41</v>
      </c>
      <c r="F306">
        <v>36.76</v>
      </c>
      <c r="G306" t="str">
        <f>HYPERLINK("https://www.ncbi.nlm.nih.gov/nucleotide/XM_031153619.1?report=genbank&amp;log$=nucltop&amp;blast_rank=99&amp;RID=UJMCBTDU013","XM_031153619.1")</f>
        <v>XM_031153619.1</v>
      </c>
    </row>
    <row r="307" spans="1:7" x14ac:dyDescent="0.35">
      <c r="A307" t="s">
        <v>283</v>
      </c>
      <c r="B307">
        <v>128</v>
      </c>
      <c r="C307">
        <v>128</v>
      </c>
      <c r="D307" s="2">
        <v>0.79</v>
      </c>
      <c r="E307" s="3">
        <v>5.0000000000000004E-32</v>
      </c>
      <c r="F307">
        <v>34.979999999999997</v>
      </c>
      <c r="G307" t="str">
        <f>HYPERLINK("https://www.ncbi.nlm.nih.gov/nucleotide/XM_024808245.1?report=genbank&amp;log$=nucltop&amp;blast_rank=100&amp;RID=UJMCBTDU013","XM_024808245.1")</f>
        <v>XM_024808245.1</v>
      </c>
    </row>
    <row r="308" spans="1:7" s="1" customFormat="1" x14ac:dyDescent="0.35">
      <c r="A308" s="1" t="s">
        <v>729</v>
      </c>
      <c r="D308" s="7"/>
      <c r="E308" s="8"/>
    </row>
    <row r="309" spans="1:7" x14ac:dyDescent="0.35">
      <c r="A309" s="1" t="s">
        <v>284</v>
      </c>
    </row>
    <row r="310" spans="1:7" x14ac:dyDescent="0.35">
      <c r="A310" s="1" t="s">
        <v>2</v>
      </c>
      <c r="B310" s="1" t="s">
        <v>3</v>
      </c>
      <c r="C310" s="1" t="s">
        <v>4</v>
      </c>
      <c r="D310" s="1" t="s">
        <v>5</v>
      </c>
      <c r="E310" s="1" t="s">
        <v>6</v>
      </c>
      <c r="F310" s="1" t="s">
        <v>7</v>
      </c>
      <c r="G310" s="1" t="s">
        <v>8</v>
      </c>
    </row>
    <row r="311" spans="1:7" x14ac:dyDescent="0.35">
      <c r="A311" t="s">
        <v>120</v>
      </c>
      <c r="B311">
        <v>774</v>
      </c>
      <c r="C311">
        <v>774</v>
      </c>
      <c r="D311" s="2">
        <v>0.91</v>
      </c>
      <c r="E311">
        <v>0</v>
      </c>
      <c r="F311">
        <v>59.32</v>
      </c>
      <c r="G311" t="str">
        <f>HYPERLINK("https://www.ncbi.nlm.nih.gov/nucleotide/XM_012324393.1?report=genbank&amp;log$=nucltop&amp;blast_rank=1&amp;RID=WCHDMRSJ013","XM_012324393.1")</f>
        <v>XM_012324393.1</v>
      </c>
    </row>
    <row r="312" spans="1:7" x14ac:dyDescent="0.35">
      <c r="A312" s="4" t="s">
        <v>285</v>
      </c>
      <c r="B312" s="4">
        <v>768</v>
      </c>
      <c r="C312" s="4">
        <v>768</v>
      </c>
      <c r="D312" s="5">
        <v>0.91</v>
      </c>
      <c r="E312" s="4">
        <v>0</v>
      </c>
      <c r="F312" s="4">
        <v>58.22</v>
      </c>
      <c r="G312" s="4" t="str">
        <f>HYPERLINK("https://www.ncbi.nlm.nih.gov/nucleotide/XM_007301254.1?report=genbank&amp;log$=nucltop&amp;blast_rank=2&amp;RID=WCHDMRSJ013","XM_007301254.1")</f>
        <v>XM_007301254.1</v>
      </c>
    </row>
    <row r="313" spans="1:7" x14ac:dyDescent="0.35">
      <c r="A313" s="4" t="s">
        <v>286</v>
      </c>
      <c r="B313" s="4">
        <v>711</v>
      </c>
      <c r="C313" s="4">
        <v>711</v>
      </c>
      <c r="D313" s="5">
        <v>0.89</v>
      </c>
      <c r="E313" s="4">
        <v>0</v>
      </c>
      <c r="F313" s="4">
        <v>57.46</v>
      </c>
      <c r="G313" s="4" t="str">
        <f>HYPERLINK("https://www.ncbi.nlm.nih.gov/nucleotide/LR727269.1?report=genbank&amp;log$=nucltop&amp;blast_rank=3&amp;RID=WCHDMRSJ013","LR727269.1")</f>
        <v>LR727269.1</v>
      </c>
    </row>
    <row r="314" spans="1:7" x14ac:dyDescent="0.35">
      <c r="A314" s="4" t="s">
        <v>287</v>
      </c>
      <c r="B314" s="4">
        <v>744</v>
      </c>
      <c r="C314" s="4">
        <v>744</v>
      </c>
      <c r="D314" s="5">
        <v>0.91</v>
      </c>
      <c r="E314" s="4">
        <v>0</v>
      </c>
      <c r="F314" s="4">
        <v>56.46</v>
      </c>
      <c r="G314" s="4" t="str">
        <f>HYPERLINK("https://www.ncbi.nlm.nih.gov/nucleotide/XM_007305059.1?report=genbank&amp;log$=nucltop&amp;blast_rank=4&amp;RID=WCHDMRSJ013","XM_007305059.1")</f>
        <v>XM_007305059.1</v>
      </c>
    </row>
    <row r="315" spans="1:7" x14ac:dyDescent="0.35">
      <c r="A315" t="s">
        <v>288</v>
      </c>
      <c r="B315">
        <v>784</v>
      </c>
      <c r="C315">
        <v>784</v>
      </c>
      <c r="D315" s="2">
        <v>0.97</v>
      </c>
      <c r="E315">
        <v>0</v>
      </c>
      <c r="F315">
        <v>56.26</v>
      </c>
      <c r="G315" t="str">
        <f>HYPERLINK("https://www.ncbi.nlm.nih.gov/nucleotide/XM_036770581.1?report=genbank&amp;log$=nucltop&amp;blast_rank=5&amp;RID=WCHDMRSJ013","XM_036770581.1")</f>
        <v>XM_036770581.1</v>
      </c>
    </row>
    <row r="316" spans="1:7" x14ac:dyDescent="0.35">
      <c r="A316" s="4" t="s">
        <v>289</v>
      </c>
      <c r="B316" s="4">
        <v>746</v>
      </c>
      <c r="C316" s="4">
        <v>746</v>
      </c>
      <c r="D316" s="5">
        <v>0.91</v>
      </c>
      <c r="E316" s="4">
        <v>0</v>
      </c>
      <c r="F316" s="4">
        <v>56.12</v>
      </c>
      <c r="G316" s="4" t="str">
        <f>HYPERLINK("https://www.ncbi.nlm.nih.gov/nucleotide/XM_027764248.1?report=genbank&amp;log$=nucltop&amp;blast_rank=6&amp;RID=WCHDMRSJ013","XM_027764248.1")</f>
        <v>XM_027764248.1</v>
      </c>
    </row>
    <row r="317" spans="1:7" x14ac:dyDescent="0.35">
      <c r="A317" t="s">
        <v>290</v>
      </c>
      <c r="B317">
        <v>798</v>
      </c>
      <c r="C317">
        <v>798</v>
      </c>
      <c r="D317" s="2">
        <v>0.98</v>
      </c>
      <c r="E317">
        <v>0</v>
      </c>
      <c r="F317">
        <v>55.45</v>
      </c>
      <c r="G317" t="str">
        <f>HYPERLINK("https://www.ncbi.nlm.nih.gov/nucleotide/XM_027756926.1?report=genbank&amp;log$=nucltop&amp;blast_rank=7&amp;RID=WCHDMRSJ013","XM_027756926.1")</f>
        <v>XM_027756926.1</v>
      </c>
    </row>
    <row r="318" spans="1:7" x14ac:dyDescent="0.35">
      <c r="A318" t="s">
        <v>291</v>
      </c>
      <c r="B318">
        <v>792</v>
      </c>
      <c r="C318">
        <v>792</v>
      </c>
      <c r="D318" s="2">
        <v>0.98</v>
      </c>
      <c r="E318">
        <v>0</v>
      </c>
      <c r="F318">
        <v>55.04</v>
      </c>
      <c r="G318" t="str">
        <f>HYPERLINK("https://www.ncbi.nlm.nih.gov/nucleotide/XM_024480489.1?report=genbank&amp;log$=nucltop&amp;blast_rank=8&amp;RID=WCHDMRSJ013","XM_024480489.1")</f>
        <v>XM_024480489.1</v>
      </c>
    </row>
    <row r="319" spans="1:7" x14ac:dyDescent="0.35">
      <c r="A319" s="4" t="s">
        <v>292</v>
      </c>
      <c r="B319" s="4">
        <v>788</v>
      </c>
      <c r="C319" s="4">
        <v>788</v>
      </c>
      <c r="D319" s="5">
        <v>0.98</v>
      </c>
      <c r="E319" s="4">
        <v>0</v>
      </c>
      <c r="F319" s="4">
        <v>54.81</v>
      </c>
      <c r="G319" s="4" t="str">
        <f>HYPERLINK("https://www.ncbi.nlm.nih.gov/nucleotide/XM_008038568.1?report=genbank&amp;log$=nucltop&amp;blast_rank=9&amp;RID=WCHDMRSJ013","XM_008038568.1")</f>
        <v>XM_008038568.1</v>
      </c>
    </row>
    <row r="320" spans="1:7" x14ac:dyDescent="0.35">
      <c r="A320" s="4" t="s">
        <v>293</v>
      </c>
      <c r="B320" s="4">
        <v>783</v>
      </c>
      <c r="C320" s="4">
        <v>783</v>
      </c>
      <c r="D320" s="5">
        <v>0.98</v>
      </c>
      <c r="E320" s="4">
        <v>0</v>
      </c>
      <c r="F320" s="4">
        <v>54.74</v>
      </c>
      <c r="G320" s="4" t="str">
        <f>HYPERLINK("https://www.ncbi.nlm.nih.gov/nucleotide/XM_007385278.1?report=genbank&amp;log$=nucltop&amp;blast_rank=10&amp;RID=WCHDMRSJ013","XM_007385278.1")</f>
        <v>XM_007385278.1</v>
      </c>
    </row>
    <row r="321" spans="1:7" x14ac:dyDescent="0.35">
      <c r="A321" s="4" t="s">
        <v>294</v>
      </c>
      <c r="B321" s="4">
        <v>782</v>
      </c>
      <c r="C321" s="4">
        <v>782</v>
      </c>
      <c r="D321" s="5">
        <v>0.98</v>
      </c>
      <c r="E321" s="4">
        <v>0</v>
      </c>
      <c r="F321" s="4">
        <v>54.61</v>
      </c>
      <c r="G321" s="4" t="str">
        <f>HYPERLINK("https://www.ncbi.nlm.nih.gov/nucleotide/XM_007864801.1?report=genbank&amp;log$=nucltop&amp;blast_rank=11&amp;RID=WCHDMRSJ013","XM_007864801.1")</f>
        <v>XM_007864801.1</v>
      </c>
    </row>
    <row r="322" spans="1:7" x14ac:dyDescent="0.35">
      <c r="A322" s="4" t="s">
        <v>295</v>
      </c>
      <c r="B322" s="4">
        <v>767</v>
      </c>
      <c r="C322" s="4">
        <v>767</v>
      </c>
      <c r="D322" s="5">
        <v>0.98</v>
      </c>
      <c r="E322" s="4">
        <v>0</v>
      </c>
      <c r="F322" s="4">
        <v>54.33</v>
      </c>
      <c r="G322" s="4" t="str">
        <f>HYPERLINK("https://www.ncbi.nlm.nih.gov/nucleotide/XM_007361427.1?report=genbank&amp;log$=nucltop&amp;blast_rank=12&amp;RID=WCHDMRSJ013","XM_007361427.1")</f>
        <v>XM_007361427.1</v>
      </c>
    </row>
    <row r="323" spans="1:7" x14ac:dyDescent="0.35">
      <c r="A323" t="s">
        <v>296</v>
      </c>
      <c r="B323">
        <v>785</v>
      </c>
      <c r="C323">
        <v>785</v>
      </c>
      <c r="D323" s="2">
        <v>0.99</v>
      </c>
      <c r="E323">
        <v>0</v>
      </c>
      <c r="F323">
        <v>54.31</v>
      </c>
      <c r="G323" t="str">
        <f>HYPERLINK("https://www.ncbi.nlm.nih.gov/nucleotide/XM_007322003.1?report=genbank&amp;log$=nucltop&amp;blast_rank=13&amp;RID=WCHDMRSJ013","XM_007322003.1")</f>
        <v>XM_007322003.1</v>
      </c>
    </row>
    <row r="324" spans="1:7" x14ac:dyDescent="0.35">
      <c r="A324" t="s">
        <v>297</v>
      </c>
      <c r="B324">
        <v>764</v>
      </c>
      <c r="C324">
        <v>764</v>
      </c>
      <c r="D324" s="2">
        <v>0.98</v>
      </c>
      <c r="E324">
        <v>0</v>
      </c>
      <c r="F324">
        <v>54.06</v>
      </c>
      <c r="G324" t="str">
        <f>HYPERLINK("https://www.ncbi.nlm.nih.gov/nucleotide/XM_007395394.1?report=genbank&amp;log$=nucltop&amp;blast_rank=14&amp;RID=WCHDMRSJ013","XM_007395394.1")</f>
        <v>XM_007395394.1</v>
      </c>
    </row>
    <row r="325" spans="1:7" x14ac:dyDescent="0.35">
      <c r="A325" t="s">
        <v>21</v>
      </c>
      <c r="B325">
        <v>761</v>
      </c>
      <c r="C325">
        <v>761</v>
      </c>
      <c r="D325" s="2">
        <v>0.98</v>
      </c>
      <c r="E325">
        <v>0</v>
      </c>
      <c r="F325">
        <v>53.95</v>
      </c>
      <c r="G325" t="str">
        <f>HYPERLINK("https://www.ncbi.nlm.nih.gov/nucleotide/XM_009544599.1?report=genbank&amp;log$=nucltop&amp;blast_rank=15&amp;RID=WCHDMRSJ013","XM_009544599.1")</f>
        <v>XM_009544599.1</v>
      </c>
    </row>
    <row r="326" spans="1:7" x14ac:dyDescent="0.35">
      <c r="A326" t="s">
        <v>298</v>
      </c>
      <c r="B326">
        <v>751</v>
      </c>
      <c r="C326">
        <v>751</v>
      </c>
      <c r="D326" s="2">
        <v>0.97</v>
      </c>
      <c r="E326">
        <v>0</v>
      </c>
      <c r="F326">
        <v>53.31</v>
      </c>
      <c r="G326" t="str">
        <f>HYPERLINK("https://www.ncbi.nlm.nih.gov/nucleotide/XM_001832964.1?report=genbank&amp;log$=nucltop&amp;blast_rank=16&amp;RID=WCHDMRSJ013","XM_001832964.1")</f>
        <v>XM_001832964.1</v>
      </c>
    </row>
    <row r="327" spans="1:7" x14ac:dyDescent="0.35">
      <c r="A327" t="s">
        <v>299</v>
      </c>
      <c r="B327">
        <v>728</v>
      </c>
      <c r="C327">
        <v>728</v>
      </c>
      <c r="D327" s="2">
        <v>0.99</v>
      </c>
      <c r="E327">
        <v>0</v>
      </c>
      <c r="F327">
        <v>52.98</v>
      </c>
      <c r="G327" t="str">
        <f>HYPERLINK("https://www.ncbi.nlm.nih.gov/nucleotide/XM_007766373.1?report=genbank&amp;log$=nucltop&amp;blast_rank=17&amp;RID=WCHDMRSJ013","XM_007766373.1")</f>
        <v>XM_007766373.1</v>
      </c>
    </row>
    <row r="328" spans="1:7" x14ac:dyDescent="0.35">
      <c r="A328" t="s">
        <v>300</v>
      </c>
      <c r="B328">
        <v>731</v>
      </c>
      <c r="C328">
        <v>731</v>
      </c>
      <c r="D328" s="2">
        <v>0.96</v>
      </c>
      <c r="E328">
        <v>0</v>
      </c>
      <c r="F328">
        <v>52.7</v>
      </c>
      <c r="G328" t="str">
        <f>HYPERLINK("https://www.ncbi.nlm.nih.gov/nucleotide/XM_007326500.1?report=genbank&amp;log$=nucltop&amp;blast_rank=18&amp;RID=WCHDMRSJ013","XM_007326500.1")</f>
        <v>XM_007326500.1</v>
      </c>
    </row>
    <row r="329" spans="1:7" x14ac:dyDescent="0.35">
      <c r="A329" t="s">
        <v>301</v>
      </c>
      <c r="B329">
        <v>729</v>
      </c>
      <c r="C329">
        <v>729</v>
      </c>
      <c r="D329" s="2">
        <v>0.96</v>
      </c>
      <c r="E329">
        <v>0</v>
      </c>
      <c r="F329">
        <v>52.56</v>
      </c>
      <c r="G329" t="str">
        <f>HYPERLINK("https://www.ncbi.nlm.nih.gov/nucleotide/XM_006457968.1?report=genbank&amp;log$=nucltop&amp;blast_rank=19&amp;RID=WCHDMRSJ013","XM_006457968.1")</f>
        <v>XM_006457968.1</v>
      </c>
    </row>
    <row r="330" spans="1:7" x14ac:dyDescent="0.35">
      <c r="A330" t="s">
        <v>302</v>
      </c>
      <c r="B330">
        <v>744</v>
      </c>
      <c r="C330">
        <v>744</v>
      </c>
      <c r="D330" s="2">
        <v>0.99</v>
      </c>
      <c r="E330">
        <v>0</v>
      </c>
      <c r="F330">
        <v>52.46</v>
      </c>
      <c r="G330" t="str">
        <f>HYPERLINK("https://www.ncbi.nlm.nih.gov/nucleotide/XM_037367443.1?report=genbank&amp;log$=nucltop&amp;blast_rank=20&amp;RID=WCHDMRSJ013","XM_037367443.1")</f>
        <v>XM_037367443.1</v>
      </c>
    </row>
    <row r="331" spans="1:7" x14ac:dyDescent="0.35">
      <c r="A331" t="s">
        <v>185</v>
      </c>
      <c r="B331">
        <v>664</v>
      </c>
      <c r="C331">
        <v>664</v>
      </c>
      <c r="D331" s="2">
        <v>0.9</v>
      </c>
      <c r="E331">
        <v>0</v>
      </c>
      <c r="F331">
        <v>52.18</v>
      </c>
      <c r="G331" t="str">
        <f>HYPERLINK("https://www.ncbi.nlm.nih.gov/nucleotide/XM_007881850.1?report=genbank&amp;log$=nucltop&amp;blast_rank=21&amp;RID=WCHDMRSJ013","XM_007881850.1")</f>
        <v>XM_007881850.1</v>
      </c>
    </row>
    <row r="332" spans="1:7" x14ac:dyDescent="0.35">
      <c r="A332" t="s">
        <v>303</v>
      </c>
      <c r="B332">
        <v>629</v>
      </c>
      <c r="C332">
        <v>629</v>
      </c>
      <c r="D332" s="2">
        <v>0.89</v>
      </c>
      <c r="E332">
        <v>0</v>
      </c>
      <c r="F332">
        <v>50.99</v>
      </c>
      <c r="G332" t="str">
        <f>HYPERLINK("https://www.ncbi.nlm.nih.gov/nucleotide/XM_016417291.1?report=genbank&amp;log$=nucltop&amp;blast_rank=22&amp;RID=WCHDMRSJ013","XM_016417291.1")</f>
        <v>XM_016417291.1</v>
      </c>
    </row>
    <row r="333" spans="1:7" x14ac:dyDescent="0.35">
      <c r="A333" t="s">
        <v>304</v>
      </c>
      <c r="B333">
        <v>654</v>
      </c>
      <c r="C333">
        <v>654</v>
      </c>
      <c r="D333" s="2">
        <v>0.9</v>
      </c>
      <c r="E333">
        <v>0</v>
      </c>
      <c r="F333">
        <v>50.94</v>
      </c>
      <c r="G333" t="str">
        <f>HYPERLINK("https://www.ncbi.nlm.nih.gov/nucleotide/LT558132.1?report=genbank&amp;log$=nucltop&amp;blast_rank=23&amp;RID=WCHDMRSJ013","LT558132.1")</f>
        <v>LT558132.1</v>
      </c>
    </row>
    <row r="334" spans="1:7" x14ac:dyDescent="0.35">
      <c r="A334" t="s">
        <v>305</v>
      </c>
      <c r="B334">
        <v>633</v>
      </c>
      <c r="C334">
        <v>633</v>
      </c>
      <c r="D334" s="2">
        <v>0.9</v>
      </c>
      <c r="E334">
        <v>0</v>
      </c>
      <c r="F334">
        <v>50.86</v>
      </c>
      <c r="G334" t="str">
        <f>HYPERLINK("https://www.ncbi.nlm.nih.gov/nucleotide/XM_011393347.1?report=genbank&amp;log$=nucltop&amp;blast_rank=24&amp;RID=WCHDMRSJ013","XM_011393347.1")</f>
        <v>XM_011393347.1</v>
      </c>
    </row>
    <row r="335" spans="1:7" x14ac:dyDescent="0.35">
      <c r="A335" t="s">
        <v>306</v>
      </c>
      <c r="B335">
        <v>643</v>
      </c>
      <c r="C335">
        <v>643</v>
      </c>
      <c r="D335" s="2">
        <v>0.9</v>
      </c>
      <c r="E335">
        <v>0</v>
      </c>
      <c r="F335">
        <v>50.55</v>
      </c>
      <c r="G335" t="str">
        <f>HYPERLINK("https://www.ncbi.nlm.nih.gov/nucleotide/LT795070.1?report=genbank&amp;log$=nucltop&amp;blast_rank=25&amp;RID=WCHDMRSJ013","LT795070.1")</f>
        <v>LT795070.1</v>
      </c>
    </row>
    <row r="336" spans="1:7" x14ac:dyDescent="0.35">
      <c r="A336" t="s">
        <v>307</v>
      </c>
      <c r="B336">
        <v>642</v>
      </c>
      <c r="C336">
        <v>642</v>
      </c>
      <c r="D336" s="2">
        <v>0.9</v>
      </c>
      <c r="E336">
        <v>0</v>
      </c>
      <c r="F336">
        <v>50.39</v>
      </c>
      <c r="G336" t="str">
        <f>HYPERLINK("https://www.ncbi.nlm.nih.gov/nucleotide/FQ311438.1?report=genbank&amp;log$=nucltop&amp;blast_rank=26&amp;RID=WCHDMRSJ013","FQ311438.1")</f>
        <v>FQ311438.1</v>
      </c>
    </row>
    <row r="337" spans="1:7" x14ac:dyDescent="0.35">
      <c r="A337" t="s">
        <v>308</v>
      </c>
      <c r="B337">
        <v>640</v>
      </c>
      <c r="C337">
        <v>640</v>
      </c>
      <c r="D337" s="2">
        <v>0.9</v>
      </c>
      <c r="E337">
        <v>0</v>
      </c>
      <c r="F337">
        <v>50.24</v>
      </c>
      <c r="G337" t="str">
        <f>HYPERLINK("https://www.ncbi.nlm.nih.gov/nucleotide/XM_016434934.1?report=genbank&amp;log$=nucltop&amp;blast_rank=27&amp;RID=WCHDMRSJ013","XM_016434934.1")</f>
        <v>XM_016434934.1</v>
      </c>
    </row>
    <row r="338" spans="1:7" x14ac:dyDescent="0.35">
      <c r="A338" t="s">
        <v>309</v>
      </c>
      <c r="B338">
        <v>650</v>
      </c>
      <c r="C338">
        <v>650</v>
      </c>
      <c r="D338" s="2">
        <v>0.9</v>
      </c>
      <c r="E338">
        <v>0</v>
      </c>
      <c r="F338">
        <v>50.23</v>
      </c>
      <c r="G338" t="str">
        <f>HYPERLINK("https://www.ncbi.nlm.nih.gov/nucleotide/XM_012336565.1?report=genbank&amp;log$=nucltop&amp;blast_rank=28&amp;RID=WCHDMRSJ013","XM_012336565.1")</f>
        <v>XM_012336565.1</v>
      </c>
    </row>
    <row r="339" spans="1:7" x14ac:dyDescent="0.35">
      <c r="A339" t="s">
        <v>310</v>
      </c>
      <c r="B339">
        <v>645</v>
      </c>
      <c r="C339">
        <v>645</v>
      </c>
      <c r="D339" s="2">
        <v>0.9</v>
      </c>
      <c r="E339">
        <v>0</v>
      </c>
      <c r="F339">
        <v>50.23</v>
      </c>
      <c r="G339" t="str">
        <f>HYPERLINK("https://www.ncbi.nlm.nih.gov/nucleotide/XM_029880993.1?report=genbank&amp;log$=nucltop&amp;blast_rank=29&amp;RID=WCHDMRSJ013","XM_029880993.1")</f>
        <v>XM_029880993.1</v>
      </c>
    </row>
    <row r="340" spans="1:7" x14ac:dyDescent="0.35">
      <c r="A340" t="s">
        <v>311</v>
      </c>
      <c r="B340">
        <v>643</v>
      </c>
      <c r="C340">
        <v>643</v>
      </c>
      <c r="D340" s="2">
        <v>0.9</v>
      </c>
      <c r="E340">
        <v>0</v>
      </c>
      <c r="F340">
        <v>50.23</v>
      </c>
      <c r="G340" t="str">
        <f>HYPERLINK("https://www.ncbi.nlm.nih.gov/nucleotide/CP060314.1?report=genbank&amp;log$=nucltop&amp;blast_rank=30&amp;RID=WCHDMRSJ013","CP060314.1")</f>
        <v>CP060314.1</v>
      </c>
    </row>
    <row r="341" spans="1:7" x14ac:dyDescent="0.35">
      <c r="A341" t="s">
        <v>312</v>
      </c>
      <c r="B341">
        <v>630</v>
      </c>
      <c r="C341">
        <v>630</v>
      </c>
      <c r="D341" s="2">
        <v>0.89</v>
      </c>
      <c r="E341">
        <v>0</v>
      </c>
      <c r="F341">
        <v>50.15</v>
      </c>
      <c r="G341" t="str">
        <f>HYPERLINK("https://www.ncbi.nlm.nih.gov/nucleotide/XM_018418282.1?report=genbank&amp;log$=nucltop&amp;blast_rank=31&amp;RID=WCHDMRSJ013","XM_018418282.1")</f>
        <v>XM_018418282.1</v>
      </c>
    </row>
    <row r="342" spans="1:7" x14ac:dyDescent="0.35">
      <c r="A342" t="s">
        <v>313</v>
      </c>
      <c r="B342">
        <v>626</v>
      </c>
      <c r="C342">
        <v>626</v>
      </c>
      <c r="D342" s="2">
        <v>0.88</v>
      </c>
      <c r="E342">
        <v>0</v>
      </c>
      <c r="F342">
        <v>50</v>
      </c>
      <c r="G342" t="str">
        <f>HYPERLINK("https://www.ncbi.nlm.nih.gov/nucleotide/CP046439.1?report=genbank&amp;log$=nucltop&amp;blast_rank=32&amp;RID=WCHDMRSJ013","CP046439.1")</f>
        <v>CP046439.1</v>
      </c>
    </row>
    <row r="343" spans="1:7" x14ac:dyDescent="0.35">
      <c r="A343" t="s">
        <v>314</v>
      </c>
      <c r="B343">
        <v>626</v>
      </c>
      <c r="C343">
        <v>626</v>
      </c>
      <c r="D343" s="2">
        <v>0.88</v>
      </c>
      <c r="E343">
        <v>0</v>
      </c>
      <c r="F343">
        <v>50</v>
      </c>
      <c r="G343" t="str">
        <f>HYPERLINK("https://www.ncbi.nlm.nih.gov/nucleotide/XM_001729718.1?report=genbank&amp;log$=nucltop&amp;blast_rank=33&amp;RID=WCHDMRSJ013","XM_001729718.1")</f>
        <v>XM_001729718.1</v>
      </c>
    </row>
    <row r="344" spans="1:7" x14ac:dyDescent="0.35">
      <c r="A344" t="s">
        <v>172</v>
      </c>
      <c r="B344">
        <v>638</v>
      </c>
      <c r="C344">
        <v>638</v>
      </c>
      <c r="D344" s="2">
        <v>0.9</v>
      </c>
      <c r="E344">
        <v>0</v>
      </c>
      <c r="F344">
        <v>49.92</v>
      </c>
      <c r="G344" t="str">
        <f>HYPERLINK("https://www.ncbi.nlm.nih.gov/nucleotide/LK056654.1?report=genbank&amp;log$=nucltop&amp;blast_rank=34&amp;RID=WCHDMRSJ013","LK056654.1")</f>
        <v>LK056654.1</v>
      </c>
    </row>
    <row r="345" spans="1:7" x14ac:dyDescent="0.35">
      <c r="A345" t="s">
        <v>173</v>
      </c>
      <c r="B345">
        <v>638</v>
      </c>
      <c r="C345">
        <v>638</v>
      </c>
      <c r="D345" s="2">
        <v>0.9</v>
      </c>
      <c r="E345">
        <v>0</v>
      </c>
      <c r="F345">
        <v>49.92</v>
      </c>
      <c r="G345" t="str">
        <f>HYPERLINK("https://www.ncbi.nlm.nih.gov/nucleotide/CP010920.1?report=genbank&amp;log$=nucltop&amp;blast_rank=35&amp;RID=WCHDMRSJ013","CP010920.1")</f>
        <v>CP010920.1</v>
      </c>
    </row>
    <row r="346" spans="1:7" x14ac:dyDescent="0.35">
      <c r="A346" t="s">
        <v>315</v>
      </c>
      <c r="B346">
        <v>632</v>
      </c>
      <c r="C346">
        <v>632</v>
      </c>
      <c r="D346" s="2">
        <v>0.88</v>
      </c>
      <c r="E346">
        <v>0</v>
      </c>
      <c r="F346">
        <v>49.92</v>
      </c>
      <c r="G346" t="str">
        <f>HYPERLINK("https://www.ncbi.nlm.nih.gov/nucleotide/CP033152.1?report=genbank&amp;log$=nucltop&amp;blast_rank=36&amp;RID=WCHDMRSJ013","CP033152.1")</f>
        <v>CP033152.1</v>
      </c>
    </row>
    <row r="347" spans="1:7" x14ac:dyDescent="0.35">
      <c r="A347" t="s">
        <v>316</v>
      </c>
      <c r="B347">
        <v>632</v>
      </c>
      <c r="C347">
        <v>632</v>
      </c>
      <c r="D347" s="2">
        <v>0.88</v>
      </c>
      <c r="E347">
        <v>0</v>
      </c>
      <c r="F347">
        <v>49.92</v>
      </c>
      <c r="G347" t="str">
        <f>HYPERLINK("https://www.ncbi.nlm.nih.gov/nucleotide/CP030254.1?report=genbank&amp;log$=nucltop&amp;blast_rank=37&amp;RID=WCHDMRSJ013","CP030254.1")</f>
        <v>CP030254.1</v>
      </c>
    </row>
    <row r="348" spans="1:7" x14ac:dyDescent="0.35">
      <c r="A348" s="4" t="s">
        <v>317</v>
      </c>
      <c r="B348" s="4">
        <v>632</v>
      </c>
      <c r="C348" s="4">
        <v>632</v>
      </c>
      <c r="D348" s="5">
        <v>0.88</v>
      </c>
      <c r="E348" s="4">
        <v>0</v>
      </c>
      <c r="F348" s="4">
        <v>49.92</v>
      </c>
      <c r="G348" s="4" t="str">
        <f>HYPERLINK("https://www.ncbi.nlm.nih.gov/nucleotide/XM_027629006.1?report=genbank&amp;log$=nucltop&amp;blast_rank=38&amp;RID=WCHDMRSJ013","XM_027629006.1")</f>
        <v>XM_027629006.1</v>
      </c>
    </row>
    <row r="349" spans="1:7" x14ac:dyDescent="0.35">
      <c r="A349" s="4" t="s">
        <v>318</v>
      </c>
      <c r="B349" s="4">
        <v>630</v>
      </c>
      <c r="C349" s="4">
        <v>630</v>
      </c>
      <c r="D349" s="5">
        <v>0.89</v>
      </c>
      <c r="E349" s="4">
        <v>0</v>
      </c>
      <c r="F349" s="4">
        <v>49.76</v>
      </c>
      <c r="G349" s="4" t="str">
        <f>HYPERLINK("https://www.ncbi.nlm.nih.gov/nucleotide/XM_013390349.1?report=genbank&amp;log$=nucltop&amp;blast_rank=39&amp;RID=WCHDMRSJ013","XM_013390349.1")</f>
        <v>XM_013390349.1</v>
      </c>
    </row>
    <row r="350" spans="1:7" x14ac:dyDescent="0.35">
      <c r="A350" s="4" t="s">
        <v>319</v>
      </c>
      <c r="B350" s="4">
        <v>602</v>
      </c>
      <c r="C350" s="4">
        <v>602</v>
      </c>
      <c r="D350" s="5">
        <v>0.88</v>
      </c>
      <c r="E350" s="4">
        <v>0</v>
      </c>
      <c r="F350" s="4">
        <v>49.76</v>
      </c>
      <c r="G350" s="4" t="str">
        <f>HYPERLINK("https://www.ncbi.nlm.nih.gov/nucleotide/XM_025741072.1?report=genbank&amp;log$=nucltop&amp;blast_rank=40&amp;RID=WCHDMRSJ013","XM_025741072.1")</f>
        <v>XM_025741072.1</v>
      </c>
    </row>
    <row r="351" spans="1:7" x14ac:dyDescent="0.35">
      <c r="A351" s="4" t="s">
        <v>320</v>
      </c>
      <c r="B351" s="4">
        <v>632</v>
      </c>
      <c r="C351" s="4">
        <v>632</v>
      </c>
      <c r="D351" s="5">
        <v>0.93</v>
      </c>
      <c r="E351" s="4">
        <v>0</v>
      </c>
      <c r="F351" s="4">
        <v>49.7</v>
      </c>
      <c r="G351" s="4" t="str">
        <f>HYPERLINK("https://www.ncbi.nlm.nih.gov/nucleotide/XM_025517200.1?report=genbank&amp;log$=nucltop&amp;blast_rank=41&amp;RID=WCHDMRSJ013","XM_025517200.1")</f>
        <v>XM_025517200.1</v>
      </c>
    </row>
    <row r="352" spans="1:7" x14ac:dyDescent="0.35">
      <c r="A352" s="4" t="s">
        <v>321</v>
      </c>
      <c r="B352" s="4">
        <v>638</v>
      </c>
      <c r="C352" s="4">
        <v>638</v>
      </c>
      <c r="D352" s="5">
        <v>0.9</v>
      </c>
      <c r="E352" s="4">
        <v>0</v>
      </c>
      <c r="F352" s="4">
        <v>49.69</v>
      </c>
      <c r="G352" s="4" t="str">
        <f>HYPERLINK("https://www.ncbi.nlm.nih.gov/nucleotide/XM_014799615.1?report=genbank&amp;log$=nucltop&amp;blast_rank=42&amp;RID=WCHDMRSJ013","XM_014799615.1")</f>
        <v>XM_014799615.1</v>
      </c>
    </row>
    <row r="353" spans="1:7" x14ac:dyDescent="0.35">
      <c r="A353" s="4" t="s">
        <v>322</v>
      </c>
      <c r="B353" s="4">
        <v>604</v>
      </c>
      <c r="C353" s="4">
        <v>604</v>
      </c>
      <c r="D353" s="5">
        <v>0.89</v>
      </c>
      <c r="E353" s="4">
        <v>0</v>
      </c>
      <c r="F353" s="4">
        <v>49.37</v>
      </c>
      <c r="G353" s="4" t="str">
        <f>HYPERLINK("https://www.ncbi.nlm.nih.gov/nucleotide/XM_002382796.1?report=genbank&amp;log$=nucltop&amp;blast_rank=43&amp;RID=WCHDMRSJ013","XM_002382796.1")</f>
        <v>XM_002382796.1</v>
      </c>
    </row>
    <row r="354" spans="1:7" x14ac:dyDescent="0.35">
      <c r="A354" t="s">
        <v>323</v>
      </c>
      <c r="B354">
        <v>603</v>
      </c>
      <c r="C354">
        <v>603</v>
      </c>
      <c r="D354" s="2">
        <v>0.89</v>
      </c>
      <c r="E354">
        <v>0</v>
      </c>
      <c r="F354">
        <v>49.37</v>
      </c>
      <c r="G354" t="str">
        <f>HYPERLINK("https://www.ncbi.nlm.nih.gov/nucleotide/XM_023236763.1?report=genbank&amp;log$=nucltop&amp;blast_rank=44&amp;RID=WCHDMRSJ013","XM_023236763.1")</f>
        <v>XM_023236763.1</v>
      </c>
    </row>
    <row r="355" spans="1:7" x14ac:dyDescent="0.35">
      <c r="A355" t="s">
        <v>324</v>
      </c>
      <c r="B355">
        <v>608</v>
      </c>
      <c r="C355">
        <v>608</v>
      </c>
      <c r="D355" s="2">
        <v>0.88</v>
      </c>
      <c r="E355">
        <v>0</v>
      </c>
      <c r="F355">
        <v>49.3</v>
      </c>
      <c r="G355" t="str">
        <f>HYPERLINK("https://www.ncbi.nlm.nih.gov/nucleotide/XM_025490801.1?report=genbank&amp;log$=nucltop&amp;blast_rank=45&amp;RID=WCHDMRSJ013","XM_025490801.1")</f>
        <v>XM_025490801.1</v>
      </c>
    </row>
    <row r="356" spans="1:7" x14ac:dyDescent="0.35">
      <c r="A356" t="s">
        <v>325</v>
      </c>
      <c r="B356">
        <v>599</v>
      </c>
      <c r="C356">
        <v>599</v>
      </c>
      <c r="D356" s="2">
        <v>0.89</v>
      </c>
      <c r="E356">
        <v>0</v>
      </c>
      <c r="F356">
        <v>49.29</v>
      </c>
      <c r="G356" t="str">
        <f>HYPERLINK("https://www.ncbi.nlm.nih.gov/nucleotide/XM_022724697.1?report=genbank&amp;log$=nucltop&amp;blast_rank=46&amp;RID=WCHDMRSJ013","XM_022724697.1")</f>
        <v>XM_022724697.1</v>
      </c>
    </row>
    <row r="357" spans="1:7" x14ac:dyDescent="0.35">
      <c r="A357" t="s">
        <v>326</v>
      </c>
      <c r="B357">
        <v>637</v>
      </c>
      <c r="C357">
        <v>637</v>
      </c>
      <c r="D357" s="2">
        <v>0.92</v>
      </c>
      <c r="E357">
        <v>0</v>
      </c>
      <c r="F357">
        <v>49.17</v>
      </c>
      <c r="G357" t="str">
        <f>HYPERLINK("https://www.ncbi.nlm.nih.gov/nucleotide/XM_014711481.1?report=genbank&amp;log$=nucltop&amp;blast_rank=47&amp;RID=WCHDMRSJ013","XM_014711481.1")</f>
        <v>XM_014711481.1</v>
      </c>
    </row>
    <row r="358" spans="1:7" x14ac:dyDescent="0.35">
      <c r="A358" t="s">
        <v>327</v>
      </c>
      <c r="B358">
        <v>637</v>
      </c>
      <c r="C358">
        <v>637</v>
      </c>
      <c r="D358" s="2">
        <v>0.92</v>
      </c>
      <c r="E358">
        <v>0</v>
      </c>
      <c r="F358">
        <v>49.16</v>
      </c>
      <c r="G358" t="str">
        <f>HYPERLINK("https://www.ncbi.nlm.nih.gov/nucleotide/XM_018138661.1?report=genbank&amp;log$=nucltop&amp;blast_rank=48&amp;RID=WCHDMRSJ013","XM_018138661.1")</f>
        <v>XM_018138661.1</v>
      </c>
    </row>
    <row r="359" spans="1:7" x14ac:dyDescent="0.35">
      <c r="A359" t="s">
        <v>328</v>
      </c>
      <c r="B359">
        <v>634</v>
      </c>
      <c r="C359">
        <v>879</v>
      </c>
      <c r="D359" s="2">
        <v>0.9</v>
      </c>
      <c r="E359">
        <v>0</v>
      </c>
      <c r="F359">
        <v>49.14</v>
      </c>
      <c r="G359" t="str">
        <f>HYPERLINK("https://www.ncbi.nlm.nih.gov/nucleotide/CP046235.1?report=genbank&amp;log$=nucltop&amp;blast_rank=49&amp;RID=WCHDMRSJ013","CP046235.1")</f>
        <v>CP046235.1</v>
      </c>
    </row>
    <row r="360" spans="1:7" x14ac:dyDescent="0.35">
      <c r="A360" t="s">
        <v>329</v>
      </c>
      <c r="B360">
        <v>587</v>
      </c>
      <c r="C360">
        <v>587</v>
      </c>
      <c r="D360" s="2">
        <v>0.89</v>
      </c>
      <c r="E360">
        <v>0</v>
      </c>
      <c r="F360">
        <v>49.05</v>
      </c>
      <c r="G360" t="str">
        <f>HYPERLINK("https://www.ncbi.nlm.nih.gov/nucleotide/XM_032060481.1?report=genbank&amp;log$=nucltop&amp;blast_rank=50&amp;RID=WCHDMRSJ013","XM_032060481.1")</f>
        <v>XM_032060481.1</v>
      </c>
    </row>
    <row r="361" spans="1:7" x14ac:dyDescent="0.35">
      <c r="A361" t="s">
        <v>330</v>
      </c>
      <c r="B361">
        <v>674</v>
      </c>
      <c r="C361">
        <v>674</v>
      </c>
      <c r="D361" s="2">
        <v>0.99</v>
      </c>
      <c r="E361">
        <v>0</v>
      </c>
      <c r="F361">
        <v>48.97</v>
      </c>
      <c r="G361" t="str">
        <f>HYPERLINK("https://www.ncbi.nlm.nih.gov/nucleotide/XM_007271215.1?report=genbank&amp;log$=nucltop&amp;blast_rank=51&amp;RID=WCHDMRSJ013","XM_007271215.1")</f>
        <v>XM_007271215.1</v>
      </c>
    </row>
    <row r="362" spans="1:7" x14ac:dyDescent="0.35">
      <c r="A362" s="4" t="s">
        <v>331</v>
      </c>
      <c r="B362" s="4">
        <v>636</v>
      </c>
      <c r="C362" s="4">
        <v>636</v>
      </c>
      <c r="D362" s="5">
        <v>0.96</v>
      </c>
      <c r="E362" s="4">
        <v>0</v>
      </c>
      <c r="F362" s="4">
        <v>48.97</v>
      </c>
      <c r="G362" s="4" t="str">
        <f>HYPERLINK("https://www.ncbi.nlm.nih.gov/nucleotide/XM_025313188.1?report=genbank&amp;log$=nucltop&amp;blast_rank=52&amp;RID=WCHDMRSJ013","XM_025313188.1")</f>
        <v>XM_025313188.1</v>
      </c>
    </row>
    <row r="363" spans="1:7" x14ac:dyDescent="0.35">
      <c r="A363" t="s">
        <v>332</v>
      </c>
      <c r="B363">
        <v>602</v>
      </c>
      <c r="C363">
        <v>602</v>
      </c>
      <c r="D363" s="2">
        <v>0.9</v>
      </c>
      <c r="E363">
        <v>0</v>
      </c>
      <c r="F363">
        <v>48.91</v>
      </c>
      <c r="G363" t="str">
        <f>HYPERLINK("https://www.ncbi.nlm.nih.gov/nucleotide/XM_025523197.1?report=genbank&amp;log$=nucltop&amp;blast_rank=53&amp;RID=WCHDMRSJ013","XM_025523197.1")</f>
        <v>XM_025523197.1</v>
      </c>
    </row>
    <row r="364" spans="1:7" x14ac:dyDescent="0.35">
      <c r="A364" t="s">
        <v>333</v>
      </c>
      <c r="B364">
        <v>599</v>
      </c>
      <c r="C364">
        <v>599</v>
      </c>
      <c r="D364" s="2">
        <v>0.89</v>
      </c>
      <c r="E364">
        <v>0</v>
      </c>
      <c r="F364">
        <v>48.89</v>
      </c>
      <c r="G364" t="str">
        <f>HYPERLINK("https://www.ncbi.nlm.nih.gov/nucleotide/XM_002841174.1?report=genbank&amp;log$=nucltop&amp;blast_rank=54&amp;RID=WCHDMRSJ013","XM_002841174.1")</f>
        <v>XM_002841174.1</v>
      </c>
    </row>
    <row r="365" spans="1:7" x14ac:dyDescent="0.35">
      <c r="A365" t="s">
        <v>334</v>
      </c>
      <c r="B365">
        <v>605</v>
      </c>
      <c r="C365">
        <v>605</v>
      </c>
      <c r="D365" s="2">
        <v>0.9</v>
      </c>
      <c r="E365">
        <v>0</v>
      </c>
      <c r="F365">
        <v>48.86</v>
      </c>
      <c r="G365" t="str">
        <f>HYPERLINK("https://www.ncbi.nlm.nih.gov/nucleotide/XM_003335840.2?report=genbank&amp;log$=nucltop&amp;blast_rank=55&amp;RID=WCHDMRSJ013","XM_003335840.2")</f>
        <v>XM_003335840.2</v>
      </c>
    </row>
    <row r="366" spans="1:7" x14ac:dyDescent="0.35">
      <c r="A366" t="s">
        <v>335</v>
      </c>
      <c r="B366">
        <v>633</v>
      </c>
      <c r="C366">
        <v>633</v>
      </c>
      <c r="D366" s="2">
        <v>0.91</v>
      </c>
      <c r="E366">
        <v>0</v>
      </c>
      <c r="F366">
        <v>48.61</v>
      </c>
      <c r="G366" t="str">
        <f>HYPERLINK("https://www.ncbi.nlm.nih.gov/nucleotide/HG529665.1?report=genbank&amp;log$=nucltop&amp;blast_rank=56&amp;RID=WCHDMRSJ013","HG529665.1")</f>
        <v>HG529665.1</v>
      </c>
    </row>
    <row r="367" spans="1:7" x14ac:dyDescent="0.35">
      <c r="A367" t="s">
        <v>336</v>
      </c>
      <c r="B367">
        <v>596</v>
      </c>
      <c r="C367">
        <v>596</v>
      </c>
      <c r="D367" s="2">
        <v>0.88</v>
      </c>
      <c r="E367">
        <v>0</v>
      </c>
      <c r="F367">
        <v>48.61</v>
      </c>
      <c r="G367" t="str">
        <f>HYPERLINK("https://www.ncbi.nlm.nih.gov/nucleotide/XM_025506241.1?report=genbank&amp;log$=nucltop&amp;blast_rank=57&amp;RID=WCHDMRSJ013","XM_025506241.1")</f>
        <v>XM_025506241.1</v>
      </c>
    </row>
    <row r="368" spans="1:7" x14ac:dyDescent="0.35">
      <c r="A368" t="s">
        <v>337</v>
      </c>
      <c r="B368">
        <v>584</v>
      </c>
      <c r="C368">
        <v>584</v>
      </c>
      <c r="D368" s="2">
        <v>0.89</v>
      </c>
      <c r="E368">
        <v>0</v>
      </c>
      <c r="F368">
        <v>48.42</v>
      </c>
      <c r="G368" t="str">
        <f>HYPERLINK("https://www.ncbi.nlm.nih.gov/nucleotide/XM_026742464.1?report=genbank&amp;log$=nucltop&amp;blast_rank=58&amp;RID=WCHDMRSJ013","XM_026742464.1")</f>
        <v>XM_026742464.1</v>
      </c>
    </row>
    <row r="369" spans="1:7" x14ac:dyDescent="0.35">
      <c r="A369" t="s">
        <v>338</v>
      </c>
      <c r="B369">
        <v>588</v>
      </c>
      <c r="C369">
        <v>588</v>
      </c>
      <c r="D369" s="2">
        <v>0.89</v>
      </c>
      <c r="E369">
        <v>0</v>
      </c>
      <c r="F369">
        <v>48.18</v>
      </c>
      <c r="G369" t="str">
        <f>HYPERLINK("https://www.ncbi.nlm.nih.gov/nucleotide/XM_001276175.1?report=genbank&amp;log$=nucltop&amp;blast_rank=59&amp;RID=WCHDMRSJ013","XM_001276175.1")</f>
        <v>XM_001276175.1</v>
      </c>
    </row>
    <row r="370" spans="1:7" x14ac:dyDescent="0.35">
      <c r="A370" t="s">
        <v>339</v>
      </c>
      <c r="B370">
        <v>589</v>
      </c>
      <c r="C370">
        <v>589</v>
      </c>
      <c r="D370" s="2">
        <v>0.92</v>
      </c>
      <c r="E370">
        <v>0</v>
      </c>
      <c r="F370">
        <v>48.09</v>
      </c>
      <c r="G370" t="str">
        <f>HYPERLINK("https://www.ncbi.nlm.nih.gov/nucleotide/XM_023607291.1?report=genbank&amp;log$=nucltop&amp;blast_rank=60&amp;RID=WCHDMRSJ013","XM_023607291.1")</f>
        <v>XM_023607291.1</v>
      </c>
    </row>
    <row r="371" spans="1:7" x14ac:dyDescent="0.35">
      <c r="A371" t="s">
        <v>32</v>
      </c>
      <c r="B371">
        <v>607</v>
      </c>
      <c r="C371">
        <v>607</v>
      </c>
      <c r="D371" s="2">
        <v>0.92</v>
      </c>
      <c r="E371">
        <v>0</v>
      </c>
      <c r="F371">
        <v>48.09</v>
      </c>
      <c r="G371" t="str">
        <f>HYPERLINK("https://www.ncbi.nlm.nih.gov/nucleotide/XM_018428788.1?report=genbank&amp;log$=nucltop&amp;blast_rank=61&amp;RID=WCHDMRSJ013","XM_018428788.1")</f>
        <v>XM_018428788.1</v>
      </c>
    </row>
    <row r="372" spans="1:7" x14ac:dyDescent="0.35">
      <c r="A372" t="s">
        <v>340</v>
      </c>
      <c r="B372">
        <v>584</v>
      </c>
      <c r="C372">
        <v>584</v>
      </c>
      <c r="D372" s="2">
        <v>0.89</v>
      </c>
      <c r="E372">
        <v>0</v>
      </c>
      <c r="F372">
        <v>48.02</v>
      </c>
      <c r="G372" t="str">
        <f>HYPERLINK("https://www.ncbi.nlm.nih.gov/nucleotide/XM_032067073.1?report=genbank&amp;log$=nucltop&amp;blast_rank=62&amp;RID=WCHDMRSJ013","XM_032067073.1")</f>
        <v>XM_032067073.1</v>
      </c>
    </row>
    <row r="373" spans="1:7" x14ac:dyDescent="0.35">
      <c r="A373" t="s">
        <v>341</v>
      </c>
      <c r="B373">
        <v>598</v>
      </c>
      <c r="C373">
        <v>598</v>
      </c>
      <c r="D373" s="2">
        <v>0.89</v>
      </c>
      <c r="E373">
        <v>0</v>
      </c>
      <c r="F373">
        <v>47.95</v>
      </c>
      <c r="G373" t="str">
        <f>HYPERLINK("https://www.ncbi.nlm.nih.gov/nucleotide/XM_022543778.1?report=genbank&amp;log$=nucltop&amp;blast_rank=63&amp;RID=WCHDMRSJ013","XM_022543778.1")</f>
        <v>XM_022543778.1</v>
      </c>
    </row>
    <row r="374" spans="1:7" x14ac:dyDescent="0.35">
      <c r="A374" t="s">
        <v>342</v>
      </c>
      <c r="B374">
        <v>602</v>
      </c>
      <c r="C374">
        <v>602</v>
      </c>
      <c r="D374" s="2">
        <v>0.91</v>
      </c>
      <c r="E374">
        <v>0</v>
      </c>
      <c r="F374">
        <v>47.91</v>
      </c>
      <c r="G374" t="str">
        <f>HYPERLINK("https://www.ncbi.nlm.nih.gov/nucleotide/XM_019171704.1?report=genbank&amp;log$=nucltop&amp;blast_rank=64&amp;RID=WCHDMRSJ013","XM_019171704.1")</f>
        <v>XM_019171704.1</v>
      </c>
    </row>
    <row r="375" spans="1:7" x14ac:dyDescent="0.35">
      <c r="A375" t="s">
        <v>343</v>
      </c>
      <c r="B375">
        <v>589</v>
      </c>
      <c r="C375">
        <v>589</v>
      </c>
      <c r="D375" s="2">
        <v>0.89</v>
      </c>
      <c r="E375">
        <v>0</v>
      </c>
      <c r="F375">
        <v>47.81</v>
      </c>
      <c r="G375" t="str">
        <f>HYPERLINK("https://www.ncbi.nlm.nih.gov/nucleotide/XM_002615675.1?report=genbank&amp;log$=nucltop&amp;blast_rank=65&amp;RID=WCHDMRSJ013","XM_002615675.1")</f>
        <v>XM_002615675.1</v>
      </c>
    </row>
    <row r="376" spans="1:7" x14ac:dyDescent="0.35">
      <c r="A376" t="s">
        <v>344</v>
      </c>
      <c r="B376">
        <v>589</v>
      </c>
      <c r="C376">
        <v>589</v>
      </c>
      <c r="D376" s="2">
        <v>0.88</v>
      </c>
      <c r="E376">
        <v>0</v>
      </c>
      <c r="F376">
        <v>47.78</v>
      </c>
      <c r="G376" t="str">
        <f>HYPERLINK("https://www.ncbi.nlm.nih.gov/nucleotide/XM_019161140.1?report=genbank&amp;log$=nucltop&amp;blast_rank=66&amp;RID=WCHDMRSJ013","XM_019161140.1")</f>
        <v>XM_019161140.1</v>
      </c>
    </row>
    <row r="377" spans="1:7" x14ac:dyDescent="0.35">
      <c r="A377" t="s">
        <v>345</v>
      </c>
      <c r="B377">
        <v>639</v>
      </c>
      <c r="C377">
        <v>639</v>
      </c>
      <c r="D377" s="2">
        <v>0.98</v>
      </c>
      <c r="E377">
        <v>0</v>
      </c>
      <c r="F377">
        <v>47.76</v>
      </c>
      <c r="G377" t="str">
        <f>HYPERLINK("https://www.ncbi.nlm.nih.gov/nucleotide/LT671819.1?report=genbank&amp;log$=nucltop&amp;blast_rank=67&amp;RID=WCHDMRSJ013","LT671819.1")</f>
        <v>LT671819.1</v>
      </c>
    </row>
    <row r="378" spans="1:7" x14ac:dyDescent="0.35">
      <c r="A378" t="s">
        <v>346</v>
      </c>
      <c r="B378">
        <v>639</v>
      </c>
      <c r="C378">
        <v>639</v>
      </c>
      <c r="D378" s="2">
        <v>0.98</v>
      </c>
      <c r="E378">
        <v>0</v>
      </c>
      <c r="F378">
        <v>47.76</v>
      </c>
      <c r="G378" t="str">
        <f>HYPERLINK("https://www.ncbi.nlm.nih.gov/nucleotide/XM_018885014.1?report=genbank&amp;log$=nucltop&amp;blast_rank=68&amp;RID=WCHDMRSJ013","XM_018885014.1")</f>
        <v>XM_018885014.1</v>
      </c>
    </row>
    <row r="379" spans="1:7" x14ac:dyDescent="0.35">
      <c r="A379" t="s">
        <v>347</v>
      </c>
      <c r="B379">
        <v>638</v>
      </c>
      <c r="C379">
        <v>638</v>
      </c>
      <c r="D379" s="2">
        <v>0.98</v>
      </c>
      <c r="E379">
        <v>0</v>
      </c>
      <c r="F379">
        <v>47.76</v>
      </c>
      <c r="G379" t="str">
        <f>HYPERLINK("https://www.ncbi.nlm.nih.gov/nucleotide/LT671827.1?report=genbank&amp;log$=nucltop&amp;blast_rank=69&amp;RID=WCHDMRSJ013","LT671827.1")</f>
        <v>LT671827.1</v>
      </c>
    </row>
    <row r="380" spans="1:7" x14ac:dyDescent="0.35">
      <c r="A380" t="s">
        <v>348</v>
      </c>
      <c r="B380">
        <v>638</v>
      </c>
      <c r="C380">
        <v>638</v>
      </c>
      <c r="D380" s="2">
        <v>0.98</v>
      </c>
      <c r="E380">
        <v>0</v>
      </c>
      <c r="F380">
        <v>47.76</v>
      </c>
      <c r="G380" t="str">
        <f>HYPERLINK("https://www.ncbi.nlm.nih.gov/nucleotide/LT671811.1?report=genbank&amp;log$=nucltop&amp;blast_rank=70&amp;RID=WCHDMRSJ013","LT671811.1")</f>
        <v>LT671811.1</v>
      </c>
    </row>
    <row r="381" spans="1:7" x14ac:dyDescent="0.35">
      <c r="A381" t="s">
        <v>349</v>
      </c>
      <c r="B381">
        <v>638</v>
      </c>
      <c r="C381">
        <v>638</v>
      </c>
      <c r="D381" s="2">
        <v>0.98</v>
      </c>
      <c r="E381">
        <v>0</v>
      </c>
      <c r="F381">
        <v>47.76</v>
      </c>
      <c r="G381" t="str">
        <f>HYPERLINK("https://www.ncbi.nlm.nih.gov/nucleotide/LT671803.1?report=genbank&amp;log$=nucltop&amp;blast_rank=71&amp;RID=WCHDMRSJ013","LT671803.1")</f>
        <v>LT671803.1</v>
      </c>
    </row>
    <row r="382" spans="1:7" x14ac:dyDescent="0.35">
      <c r="A382" t="s">
        <v>350</v>
      </c>
      <c r="B382">
        <v>638</v>
      </c>
      <c r="C382">
        <v>638</v>
      </c>
      <c r="D382" s="2">
        <v>0.98</v>
      </c>
      <c r="E382">
        <v>0</v>
      </c>
      <c r="F382">
        <v>47.76</v>
      </c>
      <c r="G382" t="str">
        <f>HYPERLINK("https://www.ncbi.nlm.nih.gov/nucleotide/LT671795.1?report=genbank&amp;log$=nucltop&amp;blast_rank=72&amp;RID=WCHDMRSJ013","LT671795.1")</f>
        <v>LT671795.1</v>
      </c>
    </row>
    <row r="383" spans="1:7" x14ac:dyDescent="0.35">
      <c r="A383" t="s">
        <v>351</v>
      </c>
      <c r="B383">
        <v>595</v>
      </c>
      <c r="C383">
        <v>595</v>
      </c>
      <c r="D383" s="2">
        <v>0.91</v>
      </c>
      <c r="E383">
        <v>0</v>
      </c>
      <c r="F383">
        <v>47.76</v>
      </c>
      <c r="G383" t="str">
        <f>HYPERLINK("https://www.ncbi.nlm.nih.gov/nucleotide/XM_018333214.1?report=genbank&amp;log$=nucltop&amp;blast_rank=73&amp;RID=WCHDMRSJ013","XM_018333214.1")</f>
        <v>XM_018333214.1</v>
      </c>
    </row>
    <row r="384" spans="1:7" x14ac:dyDescent="0.35">
      <c r="A384" t="s">
        <v>352</v>
      </c>
      <c r="B384">
        <v>611</v>
      </c>
      <c r="C384">
        <v>611</v>
      </c>
      <c r="D384" s="2">
        <v>0.93</v>
      </c>
      <c r="E384">
        <v>0</v>
      </c>
      <c r="F384">
        <v>47.63</v>
      </c>
      <c r="G384" t="str">
        <f>HYPERLINK("https://www.ncbi.nlm.nih.gov/nucleotide/XM_025500308.1?report=genbank&amp;log$=nucltop&amp;blast_rank=74&amp;RID=WCHDMRSJ013","XM_025500308.1")</f>
        <v>XM_025500308.1</v>
      </c>
    </row>
    <row r="385" spans="1:7" x14ac:dyDescent="0.35">
      <c r="A385" t="s">
        <v>353</v>
      </c>
      <c r="B385">
        <v>598</v>
      </c>
      <c r="C385">
        <v>598</v>
      </c>
      <c r="D385" s="2">
        <v>0.9</v>
      </c>
      <c r="E385">
        <v>0</v>
      </c>
      <c r="F385">
        <v>47.57</v>
      </c>
      <c r="G385" t="str">
        <f>HYPERLINK("https://www.ncbi.nlm.nih.gov/nucleotide/XM_007875253.1?report=genbank&amp;log$=nucltop&amp;blast_rank=75&amp;RID=WCHDMRSJ013","XM_007875253.1")</f>
        <v>XM_007875253.1</v>
      </c>
    </row>
    <row r="386" spans="1:7" x14ac:dyDescent="0.35">
      <c r="A386" t="s">
        <v>354</v>
      </c>
      <c r="B386">
        <v>591</v>
      </c>
      <c r="C386">
        <v>591</v>
      </c>
      <c r="D386" s="2">
        <v>0.89</v>
      </c>
      <c r="E386">
        <v>0</v>
      </c>
      <c r="F386">
        <v>47.56</v>
      </c>
      <c r="G386" t="str">
        <f>HYPERLINK("https://www.ncbi.nlm.nih.gov/nucleotide/XM_014080698.1?report=genbank&amp;log$=nucltop&amp;blast_rank=76&amp;RID=WCHDMRSJ013","XM_014080698.1")</f>
        <v>XM_014080698.1</v>
      </c>
    </row>
    <row r="387" spans="1:7" x14ac:dyDescent="0.35">
      <c r="A387" t="s">
        <v>355</v>
      </c>
      <c r="B387">
        <v>585</v>
      </c>
      <c r="C387">
        <v>585</v>
      </c>
      <c r="D387" s="2">
        <v>0.88</v>
      </c>
      <c r="E387">
        <v>0</v>
      </c>
      <c r="F387">
        <v>47.54</v>
      </c>
      <c r="G387" t="str">
        <f>HYPERLINK("https://www.ncbi.nlm.nih.gov/nucleotide/XM_029464436.1?report=genbank&amp;log$=nucltop&amp;blast_rank=77&amp;RID=WCHDMRSJ013","XM_029464436.1")</f>
        <v>XM_029464436.1</v>
      </c>
    </row>
    <row r="388" spans="1:7" x14ac:dyDescent="0.35">
      <c r="A388" s="4" t="s">
        <v>356</v>
      </c>
      <c r="B388" s="4">
        <v>608</v>
      </c>
      <c r="C388" s="4">
        <v>608</v>
      </c>
      <c r="D388" s="5">
        <v>0.91</v>
      </c>
      <c r="E388" s="4">
        <v>0</v>
      </c>
      <c r="F388" s="4">
        <v>47.47</v>
      </c>
      <c r="G388" s="4" t="str">
        <f>HYPERLINK("https://www.ncbi.nlm.nih.gov/nucleotide/XM_020216423.1?report=genbank&amp;log$=nucltop&amp;blast_rank=78&amp;RID=WCHDMRSJ013","XM_020216423.1")</f>
        <v>XM_020216423.1</v>
      </c>
    </row>
    <row r="389" spans="1:7" x14ac:dyDescent="0.35">
      <c r="A389" t="s">
        <v>357</v>
      </c>
      <c r="B389">
        <v>600</v>
      </c>
      <c r="C389">
        <v>600</v>
      </c>
      <c r="D389" s="2">
        <v>0.91</v>
      </c>
      <c r="E389">
        <v>0</v>
      </c>
      <c r="F389">
        <v>47.18</v>
      </c>
      <c r="G389" t="str">
        <f>HYPERLINK("https://www.ncbi.nlm.nih.gov/nucleotide/XM_002490692.1?report=genbank&amp;log$=nucltop&amp;blast_rank=79&amp;RID=WCHDMRSJ013","XM_002490692.1")</f>
        <v>XM_002490692.1</v>
      </c>
    </row>
    <row r="390" spans="1:7" x14ac:dyDescent="0.35">
      <c r="A390" t="s">
        <v>358</v>
      </c>
      <c r="B390">
        <v>600</v>
      </c>
      <c r="C390">
        <v>656</v>
      </c>
      <c r="D390" s="2">
        <v>0.91</v>
      </c>
      <c r="E390">
        <v>0</v>
      </c>
      <c r="F390">
        <v>47.18</v>
      </c>
      <c r="G390" t="str">
        <f>HYPERLINK("https://www.ncbi.nlm.nih.gov/nucleotide/LT962476.1?report=genbank&amp;log$=nucltop&amp;blast_rank=80&amp;RID=WCHDMRSJ013","LT962476.1")</f>
        <v>LT962476.1</v>
      </c>
    </row>
    <row r="391" spans="1:7" x14ac:dyDescent="0.35">
      <c r="A391" t="s">
        <v>359</v>
      </c>
      <c r="B391">
        <v>600</v>
      </c>
      <c r="C391">
        <v>656</v>
      </c>
      <c r="D391" s="2">
        <v>0.91</v>
      </c>
      <c r="E391">
        <v>0</v>
      </c>
      <c r="F391">
        <v>47.18</v>
      </c>
      <c r="G391" t="str">
        <f>HYPERLINK("https://www.ncbi.nlm.nih.gov/nucleotide/CP014715.1?report=genbank&amp;log$=nucltop&amp;blast_rank=81&amp;RID=WCHDMRSJ013","CP014715.1")</f>
        <v>CP014715.1</v>
      </c>
    </row>
    <row r="392" spans="1:7" x14ac:dyDescent="0.35">
      <c r="A392" t="s">
        <v>360</v>
      </c>
      <c r="B392">
        <v>600</v>
      </c>
      <c r="C392">
        <v>656</v>
      </c>
      <c r="D392" s="2">
        <v>0.91</v>
      </c>
      <c r="E392">
        <v>0</v>
      </c>
      <c r="F392">
        <v>47.18</v>
      </c>
      <c r="G392" t="str">
        <f>HYPERLINK("https://www.ncbi.nlm.nih.gov/nucleotide/CP014708.1?report=genbank&amp;log$=nucltop&amp;blast_rank=82&amp;RID=WCHDMRSJ013","CP014708.1")</f>
        <v>CP014708.1</v>
      </c>
    </row>
    <row r="393" spans="1:7" x14ac:dyDescent="0.35">
      <c r="A393" t="s">
        <v>361</v>
      </c>
      <c r="B393">
        <v>600</v>
      </c>
      <c r="C393">
        <v>656</v>
      </c>
      <c r="D393" s="2">
        <v>0.91</v>
      </c>
      <c r="E393">
        <v>0</v>
      </c>
      <c r="F393">
        <v>47.18</v>
      </c>
      <c r="G393" t="str">
        <f>HYPERLINK("https://www.ncbi.nlm.nih.gov/nucleotide/FR839628.1?report=genbank&amp;log$=nucltop&amp;blast_rank=83&amp;RID=WCHDMRSJ013","FR839628.1")</f>
        <v>FR839628.1</v>
      </c>
    </row>
    <row r="394" spans="1:7" x14ac:dyDescent="0.35">
      <c r="A394" t="s">
        <v>362</v>
      </c>
      <c r="B394">
        <v>600</v>
      </c>
      <c r="C394">
        <v>656</v>
      </c>
      <c r="D394" s="2">
        <v>0.91</v>
      </c>
      <c r="E394">
        <v>0</v>
      </c>
      <c r="F394">
        <v>47.18</v>
      </c>
      <c r="G394" t="str">
        <f>HYPERLINK("https://www.ncbi.nlm.nih.gov/nucleotide/FN392319.1?report=genbank&amp;log$=nucltop&amp;blast_rank=84&amp;RID=WCHDMRSJ013","FN392319.1")</f>
        <v>FN392319.1</v>
      </c>
    </row>
    <row r="395" spans="1:7" x14ac:dyDescent="0.35">
      <c r="A395" t="s">
        <v>363</v>
      </c>
      <c r="B395">
        <v>595</v>
      </c>
      <c r="C395">
        <v>595</v>
      </c>
      <c r="D395" s="2">
        <v>0.91</v>
      </c>
      <c r="E395">
        <v>0</v>
      </c>
      <c r="F395">
        <v>47.17</v>
      </c>
      <c r="G395" t="str">
        <f>HYPERLINK("https://www.ncbi.nlm.nih.gov/nucleotide/XM_011275432.1?report=genbank&amp;log$=nucltop&amp;blast_rank=85&amp;RID=WCHDMRSJ013","XM_011275432.1")</f>
        <v>XM_011275432.1</v>
      </c>
    </row>
    <row r="396" spans="1:7" x14ac:dyDescent="0.35">
      <c r="A396" t="s">
        <v>364</v>
      </c>
      <c r="B396">
        <v>599</v>
      </c>
      <c r="C396">
        <v>599</v>
      </c>
      <c r="D396" s="2">
        <v>0.91</v>
      </c>
      <c r="E396">
        <v>0</v>
      </c>
      <c r="F396">
        <v>47.02</v>
      </c>
      <c r="G396" t="str">
        <f>HYPERLINK("https://www.ncbi.nlm.nih.gov/nucleotide/CP014586.1?report=genbank&amp;log$=nucltop&amp;blast_rank=86&amp;RID=WCHDMRSJ013","CP014586.1")</f>
        <v>CP014586.1</v>
      </c>
    </row>
    <row r="397" spans="1:7" x14ac:dyDescent="0.35">
      <c r="A397" t="s">
        <v>365</v>
      </c>
      <c r="B397">
        <v>585</v>
      </c>
      <c r="C397">
        <v>585</v>
      </c>
      <c r="D397" s="2">
        <v>0.88</v>
      </c>
      <c r="E397">
        <v>0</v>
      </c>
      <c r="F397">
        <v>47</v>
      </c>
      <c r="G397" t="str">
        <f>HYPERLINK("https://www.ncbi.nlm.nih.gov/nucleotide/XM_018356934.1?report=genbank&amp;log$=nucltop&amp;blast_rank=87&amp;RID=WCHDMRSJ013","XM_018356934.1")</f>
        <v>XM_018356934.1</v>
      </c>
    </row>
    <row r="398" spans="1:7" x14ac:dyDescent="0.35">
      <c r="A398" t="s">
        <v>366</v>
      </c>
      <c r="B398">
        <v>612</v>
      </c>
      <c r="C398">
        <v>612</v>
      </c>
      <c r="D398" s="2">
        <v>0.92</v>
      </c>
      <c r="E398">
        <v>0</v>
      </c>
      <c r="F398">
        <v>46.83</v>
      </c>
      <c r="G398" t="str">
        <f>HYPERLINK("https://www.ncbi.nlm.nih.gov/nucleotide/NM_001018916.2?report=genbank&amp;log$=nucltop&amp;blast_rank=88&amp;RID=WCHDMRSJ013","NM_001018916.2")</f>
        <v>NM_001018916.2</v>
      </c>
    </row>
    <row r="399" spans="1:7" x14ac:dyDescent="0.35">
      <c r="A399" t="s">
        <v>367</v>
      </c>
      <c r="B399">
        <v>612</v>
      </c>
      <c r="C399">
        <v>667</v>
      </c>
      <c r="D399" s="2">
        <v>0.92</v>
      </c>
      <c r="E399">
        <v>0</v>
      </c>
      <c r="F399">
        <v>46.83</v>
      </c>
      <c r="G399" t="str">
        <f>HYPERLINK("https://www.ncbi.nlm.nih.gov/nucleotide/CU329670.1?report=genbank&amp;log$=nucltop&amp;blast_rank=89&amp;RID=WCHDMRSJ013","CU329670.1")</f>
        <v>CU329670.1</v>
      </c>
    </row>
    <row r="400" spans="1:7" x14ac:dyDescent="0.35">
      <c r="A400" t="s">
        <v>368</v>
      </c>
      <c r="B400">
        <v>588</v>
      </c>
      <c r="C400">
        <v>588</v>
      </c>
      <c r="D400" s="2">
        <v>0.91</v>
      </c>
      <c r="E400">
        <v>0</v>
      </c>
      <c r="F400">
        <v>46.71</v>
      </c>
      <c r="G400" t="str">
        <f>HYPERLINK("https://www.ncbi.nlm.nih.gov/nucleotide/XM_019183852.1?report=genbank&amp;log$=nucltop&amp;blast_rank=90&amp;RID=WCHDMRSJ013","XM_019183852.1")</f>
        <v>XM_019183852.1</v>
      </c>
    </row>
    <row r="401" spans="1:7" x14ac:dyDescent="0.35">
      <c r="A401" t="s">
        <v>369</v>
      </c>
      <c r="B401">
        <v>608</v>
      </c>
      <c r="C401">
        <v>608</v>
      </c>
      <c r="D401" s="2">
        <v>0.91</v>
      </c>
      <c r="E401">
        <v>0</v>
      </c>
      <c r="F401">
        <v>46.69</v>
      </c>
      <c r="G401" t="str">
        <f>HYPERLINK("https://www.ncbi.nlm.nih.gov/nucleotide/XM_002174400.2?report=genbank&amp;log$=nucltop&amp;blast_rank=91&amp;RID=WCHDMRSJ013","XM_002174400.2")</f>
        <v>XM_002174400.2</v>
      </c>
    </row>
    <row r="402" spans="1:7" x14ac:dyDescent="0.35">
      <c r="A402" t="s">
        <v>370</v>
      </c>
      <c r="B402">
        <v>608</v>
      </c>
      <c r="C402">
        <v>608</v>
      </c>
      <c r="D402" s="2">
        <v>0.91</v>
      </c>
      <c r="E402">
        <v>0</v>
      </c>
      <c r="F402">
        <v>46.69</v>
      </c>
      <c r="G402" t="str">
        <f>HYPERLINK("https://www.ncbi.nlm.nih.gov/nucleotide/XM_002174399.2?report=genbank&amp;log$=nucltop&amp;blast_rank=92&amp;RID=WCHDMRSJ013","XM_002174399.2")</f>
        <v>XM_002174399.2</v>
      </c>
    </row>
    <row r="403" spans="1:7" x14ac:dyDescent="0.35">
      <c r="A403" t="s">
        <v>371</v>
      </c>
      <c r="B403">
        <v>593</v>
      </c>
      <c r="C403">
        <v>593</v>
      </c>
      <c r="D403" s="2">
        <v>0.89</v>
      </c>
      <c r="E403">
        <v>0</v>
      </c>
      <c r="F403">
        <v>46.5</v>
      </c>
      <c r="G403" t="str">
        <f>HYPERLINK("https://www.ncbi.nlm.nih.gov/nucleotide/XM_024857827.1?report=genbank&amp;log$=nucltop&amp;blast_rank=93&amp;RID=WCHDMRSJ013","XM_024857827.1")</f>
        <v>XM_024857827.1</v>
      </c>
    </row>
    <row r="404" spans="1:7" x14ac:dyDescent="0.35">
      <c r="A404" t="s">
        <v>372</v>
      </c>
      <c r="B404">
        <v>592</v>
      </c>
      <c r="C404">
        <v>592</v>
      </c>
      <c r="D404" s="2">
        <v>0.89</v>
      </c>
      <c r="E404">
        <v>0</v>
      </c>
      <c r="F404">
        <v>46.35</v>
      </c>
      <c r="G404" t="str">
        <f>HYPERLINK("https://www.ncbi.nlm.nih.gov/nucleotide/XM_025481726.1?report=genbank&amp;log$=nucltop&amp;blast_rank=94&amp;RID=WCHDMRSJ013","XM_025481726.1")</f>
        <v>XM_025481726.1</v>
      </c>
    </row>
    <row r="405" spans="1:7" x14ac:dyDescent="0.35">
      <c r="A405" t="s">
        <v>373</v>
      </c>
      <c r="B405">
        <v>592</v>
      </c>
      <c r="C405">
        <v>592</v>
      </c>
      <c r="D405" s="2">
        <v>0.89</v>
      </c>
      <c r="E405">
        <v>0</v>
      </c>
      <c r="F405">
        <v>46.35</v>
      </c>
      <c r="G405" t="str">
        <f>HYPERLINK("https://www.ncbi.nlm.nih.gov/nucleotide/XM_025486471.1?report=genbank&amp;log$=nucltop&amp;blast_rank=95&amp;RID=WCHDMRSJ013","XM_025486471.1")</f>
        <v>XM_025486471.1</v>
      </c>
    </row>
    <row r="406" spans="1:7" x14ac:dyDescent="0.35">
      <c r="A406" t="s">
        <v>374</v>
      </c>
      <c r="B406">
        <v>596</v>
      </c>
      <c r="C406">
        <v>596</v>
      </c>
      <c r="D406" s="2">
        <v>0.9</v>
      </c>
      <c r="E406">
        <v>0</v>
      </c>
      <c r="F406">
        <v>46.32</v>
      </c>
      <c r="G406" t="str">
        <f>HYPERLINK("https://www.ncbi.nlm.nih.gov/nucleotide/XM_018369577.1?report=genbank&amp;log$=nucltop&amp;blast_rank=96&amp;RID=WCHDMRSJ013","XM_018369577.1")</f>
        <v>XM_018369577.1</v>
      </c>
    </row>
    <row r="407" spans="1:7" x14ac:dyDescent="0.35">
      <c r="A407" t="s">
        <v>375</v>
      </c>
      <c r="B407">
        <v>592</v>
      </c>
      <c r="C407">
        <v>592</v>
      </c>
      <c r="D407" s="2">
        <v>0.93</v>
      </c>
      <c r="E407">
        <v>0</v>
      </c>
      <c r="F407">
        <v>45.82</v>
      </c>
      <c r="G407" t="str">
        <f>HYPERLINK("https://www.ncbi.nlm.nih.gov/nucleotide/XM_018858252.1?report=genbank&amp;log$=nucltop&amp;blast_rank=97&amp;RID=WCHDMRSJ013","XM_018858252.1")</f>
        <v>XM_018858252.1</v>
      </c>
    </row>
    <row r="408" spans="1:7" x14ac:dyDescent="0.35">
      <c r="A408" t="s">
        <v>376</v>
      </c>
      <c r="B408">
        <v>600</v>
      </c>
      <c r="C408">
        <v>600</v>
      </c>
      <c r="D408" s="2">
        <v>0.91</v>
      </c>
      <c r="E408">
        <v>0</v>
      </c>
      <c r="F408">
        <v>45.81</v>
      </c>
      <c r="G408" t="str">
        <f>HYPERLINK("https://www.ncbi.nlm.nih.gov/nucleotide/XM_013166564.1?report=genbank&amp;log$=nucltop&amp;blast_rank=98&amp;RID=WCHDMRSJ013","XM_013166564.1")</f>
        <v>XM_013166564.1</v>
      </c>
    </row>
    <row r="409" spans="1:7" x14ac:dyDescent="0.35">
      <c r="A409" t="s">
        <v>377</v>
      </c>
      <c r="B409">
        <v>600</v>
      </c>
      <c r="C409">
        <v>600</v>
      </c>
      <c r="D409" s="2">
        <v>0.91</v>
      </c>
      <c r="E409">
        <v>0</v>
      </c>
      <c r="F409">
        <v>45.5</v>
      </c>
      <c r="G409" t="str">
        <f>HYPERLINK("https://www.ncbi.nlm.nih.gov/nucleotide/XM_013164463.1?report=genbank&amp;log$=nucltop&amp;blast_rank=99&amp;RID=WCHDMRSJ013","XM_013164463.1")</f>
        <v>XM_013164463.1</v>
      </c>
    </row>
    <row r="410" spans="1:7" x14ac:dyDescent="0.35">
      <c r="A410" t="s">
        <v>378</v>
      </c>
      <c r="B410">
        <v>591</v>
      </c>
      <c r="C410">
        <v>591</v>
      </c>
      <c r="D410" s="2">
        <v>0.91</v>
      </c>
      <c r="E410">
        <v>0</v>
      </c>
      <c r="F410">
        <v>45.45</v>
      </c>
      <c r="G410" t="str">
        <f>HYPERLINK("https://www.ncbi.nlm.nih.gov/nucleotide/XM_029033494.1?report=genbank&amp;log$=nucltop&amp;blast_rank=100&amp;RID=WCHDMRSJ013","XM_029033494.1")</f>
        <v>XM_029033494.1</v>
      </c>
    </row>
    <row r="411" spans="1:7" x14ac:dyDescent="0.35">
      <c r="A411" s="1" t="s">
        <v>379</v>
      </c>
    </row>
    <row r="412" spans="1:7" x14ac:dyDescent="0.35">
      <c r="A412" s="1" t="s">
        <v>2</v>
      </c>
      <c r="B412" s="1" t="s">
        <v>3</v>
      </c>
      <c r="C412" s="1" t="s">
        <v>4</v>
      </c>
      <c r="D412" s="1" t="s">
        <v>5</v>
      </c>
      <c r="E412" s="1" t="s">
        <v>6</v>
      </c>
      <c r="F412" s="1" t="s">
        <v>7</v>
      </c>
      <c r="G412" s="1" t="s">
        <v>8</v>
      </c>
    </row>
    <row r="413" spans="1:7" x14ac:dyDescent="0.35">
      <c r="A413" t="s">
        <v>37</v>
      </c>
      <c r="B413">
        <v>149</v>
      </c>
      <c r="C413">
        <v>792</v>
      </c>
      <c r="D413" s="2">
        <v>0.61</v>
      </c>
      <c r="E413" s="3">
        <v>9.9999999999999993E-35</v>
      </c>
      <c r="F413">
        <v>76.040000000000006</v>
      </c>
      <c r="G413" t="str">
        <f>HYPERLINK("https://www.ncbi.nlm.nih.gov/nucleotide/LR732085.1?report=genbank&amp;log$=nucltop&amp;blast_rank=1&amp;RID=1CU50H2V013","LR732085.1")</f>
        <v>LR732085.1</v>
      </c>
    </row>
    <row r="414" spans="1:7" x14ac:dyDescent="0.35">
      <c r="A414" t="s">
        <v>380</v>
      </c>
      <c r="B414">
        <v>101</v>
      </c>
      <c r="C414">
        <v>243</v>
      </c>
      <c r="D414" s="2">
        <v>0.35</v>
      </c>
      <c r="E414" s="3">
        <v>2.0000000000000001E-18</v>
      </c>
      <c r="F414">
        <v>71.430000000000007</v>
      </c>
      <c r="G414" t="str">
        <f>HYPERLINK("https://www.ncbi.nlm.nih.gov/nucleotide/AC277528.1?report=genbank&amp;log$=nucltop&amp;blast_rank=2&amp;RID=1CU50H2V013","AC277528.1")</f>
        <v>AC277528.1</v>
      </c>
    </row>
    <row r="415" spans="1:7" x14ac:dyDescent="0.35">
      <c r="A415" t="s">
        <v>381</v>
      </c>
      <c r="B415">
        <v>99.4</v>
      </c>
      <c r="C415">
        <v>233</v>
      </c>
      <c r="D415" s="2">
        <v>0.46</v>
      </c>
      <c r="E415" s="3">
        <v>8.0000000000000006E-18</v>
      </c>
      <c r="F415">
        <v>69.23</v>
      </c>
      <c r="G415" t="str">
        <f>HYPERLINK("https://www.ncbi.nlm.nih.gov/nucleotide/CP068008.1?report=genbank&amp;log$=nucltop&amp;blast_rank=3&amp;RID=1CU50H2V013","CP068008.1")</f>
        <v>CP068008.1</v>
      </c>
    </row>
    <row r="416" spans="1:7" x14ac:dyDescent="0.35">
      <c r="A416" t="s">
        <v>382</v>
      </c>
      <c r="B416">
        <v>98.2</v>
      </c>
      <c r="C416">
        <v>192</v>
      </c>
      <c r="D416" s="2">
        <v>0.28999999999999998</v>
      </c>
      <c r="E416" s="3">
        <v>2.0000000000000001E-17</v>
      </c>
      <c r="F416">
        <v>68.849999999999994</v>
      </c>
      <c r="G416" t="str">
        <f>HYPERLINK("https://www.ncbi.nlm.nih.gov/nucleotide/CP039884.1?report=genbank&amp;log$=nucltop&amp;blast_rank=4&amp;RID=1CU50H2V013","CP039884.1")</f>
        <v>CP039884.1</v>
      </c>
    </row>
    <row r="417" spans="1:7" x14ac:dyDescent="0.35">
      <c r="A417" t="s">
        <v>383</v>
      </c>
      <c r="B417">
        <v>97.8</v>
      </c>
      <c r="C417">
        <v>192</v>
      </c>
      <c r="D417" s="2">
        <v>0.28999999999999998</v>
      </c>
      <c r="E417" s="3">
        <v>2.0000000000000001E-17</v>
      </c>
      <c r="F417">
        <v>68.849999999999994</v>
      </c>
      <c r="G417" t="str">
        <f>HYPERLINK("https://www.ncbi.nlm.nih.gov/nucleotide/CP015481.1?report=genbank&amp;log$=nucltop&amp;blast_rank=5&amp;RID=1CU50H2V013","CP015481.1")</f>
        <v>CP015481.1</v>
      </c>
    </row>
    <row r="418" spans="1:7" x14ac:dyDescent="0.35">
      <c r="A418" t="s">
        <v>384</v>
      </c>
      <c r="B418">
        <v>97.8</v>
      </c>
      <c r="C418">
        <v>192</v>
      </c>
      <c r="D418" s="2">
        <v>0.28999999999999998</v>
      </c>
      <c r="E418" s="3">
        <v>3.0000000000000001E-17</v>
      </c>
      <c r="F418">
        <v>68.849999999999994</v>
      </c>
      <c r="G418" t="str">
        <f>HYPERLINK("https://www.ncbi.nlm.nih.gov/nucleotide/AC253760.1?report=genbank&amp;log$=nucltop&amp;blast_rank=6&amp;RID=1CU50H2V013","AC253760.1")</f>
        <v>AC253760.1</v>
      </c>
    </row>
    <row r="419" spans="1:7" x14ac:dyDescent="0.35">
      <c r="A419" t="s">
        <v>385</v>
      </c>
      <c r="B419">
        <v>97.8</v>
      </c>
      <c r="C419">
        <v>192</v>
      </c>
      <c r="D419" s="2">
        <v>0.28999999999999998</v>
      </c>
      <c r="E419" s="3">
        <v>3.0000000000000001E-17</v>
      </c>
      <c r="F419">
        <v>68.849999999999994</v>
      </c>
      <c r="G419" t="str">
        <f>HYPERLINK("https://www.ncbi.nlm.nih.gov/nucleotide/CP015468.1?report=genbank&amp;log$=nucltop&amp;blast_rank=7&amp;RID=1CU50H2V013","CP015468.1")</f>
        <v>CP015468.1</v>
      </c>
    </row>
    <row r="420" spans="1:7" x14ac:dyDescent="0.35">
      <c r="A420" t="s">
        <v>386</v>
      </c>
      <c r="B420">
        <v>92.4</v>
      </c>
      <c r="C420">
        <v>92.4</v>
      </c>
      <c r="D420" s="2">
        <v>0.15</v>
      </c>
      <c r="E420" s="3">
        <v>1.0000000000000001E-17</v>
      </c>
      <c r="F420">
        <v>52.17</v>
      </c>
      <c r="G420" t="str">
        <f>HYPERLINK("https://www.ncbi.nlm.nih.gov/nucleotide/LC002234.1?report=genbank&amp;log$=nucltop&amp;blast_rank=8&amp;RID=1CU50H2V013","LC002234.1")</f>
        <v>LC002234.1</v>
      </c>
    </row>
    <row r="421" spans="1:7" x14ac:dyDescent="0.35">
      <c r="A421" t="s">
        <v>387</v>
      </c>
      <c r="B421">
        <v>92.4</v>
      </c>
      <c r="C421">
        <v>92.4</v>
      </c>
      <c r="D421" s="2">
        <v>0.15</v>
      </c>
      <c r="E421" s="3">
        <v>2.0000000000000001E-17</v>
      </c>
      <c r="F421">
        <v>52.17</v>
      </c>
      <c r="G421" t="str">
        <f>HYPERLINK("https://www.ncbi.nlm.nih.gov/nucleotide/LC002235.1?report=genbank&amp;log$=nucltop&amp;blast_rank=9&amp;RID=1CU50H2V013","LC002235.1")</f>
        <v>LC002235.1</v>
      </c>
    </row>
    <row r="422" spans="1:7" x14ac:dyDescent="0.35">
      <c r="A422" t="s">
        <v>388</v>
      </c>
      <c r="B422">
        <v>221</v>
      </c>
      <c r="C422">
        <v>221</v>
      </c>
      <c r="D422" s="2">
        <v>0.43</v>
      </c>
      <c r="E422" s="3">
        <v>3.0000000000000001E-61</v>
      </c>
      <c r="F422">
        <v>51.6</v>
      </c>
      <c r="G422" t="str">
        <f>HYPERLINK("https://www.ncbi.nlm.nih.gov/nucleotide/XM_003026031.1?report=genbank&amp;log$=nucltop&amp;blast_rank=10&amp;RID=1CU50H2V013","XM_003026031.1")</f>
        <v>XM_003026031.1</v>
      </c>
    </row>
    <row r="423" spans="1:7" x14ac:dyDescent="0.35">
      <c r="A423" t="s">
        <v>389</v>
      </c>
      <c r="B423">
        <v>202</v>
      </c>
      <c r="C423">
        <v>259</v>
      </c>
      <c r="D423" s="2">
        <v>0.49</v>
      </c>
      <c r="E423" s="3">
        <v>1E-54</v>
      </c>
      <c r="F423">
        <v>47.66</v>
      </c>
      <c r="G423" t="str">
        <f>HYPERLINK("https://www.ncbi.nlm.nih.gov/nucleotide/XM_001835018.2?report=genbank&amp;log$=nucltop&amp;blast_rank=11&amp;RID=1CU50H2V013","XM_001835018.2")</f>
        <v>XM_001835018.2</v>
      </c>
    </row>
    <row r="424" spans="1:7" x14ac:dyDescent="0.35">
      <c r="A424" s="4" t="s">
        <v>390</v>
      </c>
      <c r="B424" s="4">
        <v>190</v>
      </c>
      <c r="C424" s="4">
        <v>190</v>
      </c>
      <c r="D424" s="5">
        <v>0.42</v>
      </c>
      <c r="E424" s="6">
        <v>4E-52</v>
      </c>
      <c r="F424" s="4">
        <v>46.98</v>
      </c>
      <c r="G424" s="4" t="str">
        <f>HYPERLINK("https://www.ncbi.nlm.nih.gov/nucleotide/LR725265.1?report=genbank&amp;log$=nucltop&amp;blast_rank=12&amp;RID=1CU50H2V013","LR725265.1")</f>
        <v>LR725265.1</v>
      </c>
    </row>
    <row r="425" spans="1:7" x14ac:dyDescent="0.35">
      <c r="A425" t="s">
        <v>391</v>
      </c>
      <c r="B425">
        <v>187</v>
      </c>
      <c r="C425">
        <v>187</v>
      </c>
      <c r="D425" s="2">
        <v>0.42</v>
      </c>
      <c r="E425" s="3">
        <v>3E-51</v>
      </c>
      <c r="F425">
        <v>46.73</v>
      </c>
      <c r="G425" t="str">
        <f>HYPERLINK("https://www.ncbi.nlm.nih.gov/nucleotide/XM_024485421.1?report=genbank&amp;log$=nucltop&amp;blast_rank=13&amp;RID=1CU50H2V013","XM_024485421.1")</f>
        <v>XM_024485421.1</v>
      </c>
    </row>
    <row r="426" spans="1:7" x14ac:dyDescent="0.35">
      <c r="A426" s="4" t="s">
        <v>392</v>
      </c>
      <c r="B426" s="4">
        <v>187</v>
      </c>
      <c r="C426" s="4">
        <v>187</v>
      </c>
      <c r="D426" s="5">
        <v>0.42</v>
      </c>
      <c r="E426" s="6">
        <v>3E-52</v>
      </c>
      <c r="F426" s="4">
        <v>46.51</v>
      </c>
      <c r="G426" s="4" t="str">
        <f>HYPERLINK("https://www.ncbi.nlm.nih.gov/nucleotide/XM_007363371.1?report=genbank&amp;log$=nucltop&amp;blast_rank=14&amp;RID=1CU50H2V013","XM_007363371.1")</f>
        <v>XM_007363371.1</v>
      </c>
    </row>
    <row r="427" spans="1:7" x14ac:dyDescent="0.35">
      <c r="A427" s="4" t="s">
        <v>393</v>
      </c>
      <c r="B427" s="4">
        <v>194</v>
      </c>
      <c r="C427" s="4">
        <v>194</v>
      </c>
      <c r="D427" s="5">
        <v>0.43</v>
      </c>
      <c r="E427" s="6">
        <v>1E-52</v>
      </c>
      <c r="F427" s="4">
        <v>45.16</v>
      </c>
      <c r="G427" s="4" t="str">
        <f>HYPERLINK("https://www.ncbi.nlm.nih.gov/nucleotide/XM_001879532.1?report=genbank&amp;log$=nucltop&amp;blast_rank=15&amp;RID=1CU50H2V013","XM_001879532.1")</f>
        <v>XM_001879532.1</v>
      </c>
    </row>
    <row r="428" spans="1:7" x14ac:dyDescent="0.35">
      <c r="A428" s="4" t="s">
        <v>394</v>
      </c>
      <c r="B428" s="4">
        <v>186</v>
      </c>
      <c r="C428" s="4">
        <v>186</v>
      </c>
      <c r="D428" s="5">
        <v>0.42</v>
      </c>
      <c r="E428" s="6">
        <v>5E-52</v>
      </c>
      <c r="F428" s="4">
        <v>45.16</v>
      </c>
      <c r="G428" s="4" t="str">
        <f>HYPERLINK("https://www.ncbi.nlm.nih.gov/nucleotide/XM_007872033.1?report=genbank&amp;log$=nucltop&amp;blast_rank=16&amp;RID=1CU50H2V013","XM_007872033.1")</f>
        <v>XM_007872033.1</v>
      </c>
    </row>
    <row r="429" spans="1:7" x14ac:dyDescent="0.35">
      <c r="A429" s="4" t="s">
        <v>395</v>
      </c>
      <c r="B429" s="4">
        <v>190</v>
      </c>
      <c r="C429" s="4">
        <v>190</v>
      </c>
      <c r="D429" s="5">
        <v>0.42</v>
      </c>
      <c r="E429" s="6">
        <v>1E-53</v>
      </c>
      <c r="F429" s="4">
        <v>44.7</v>
      </c>
      <c r="G429" s="4" t="str">
        <f>HYPERLINK("https://www.ncbi.nlm.nih.gov/nucleotide/XM_008043200.1?report=genbank&amp;log$=nucltop&amp;blast_rank=17&amp;RID=1CU50H2V013","XM_008043200.1")</f>
        <v>XM_008043200.1</v>
      </c>
    </row>
    <row r="430" spans="1:7" x14ac:dyDescent="0.35">
      <c r="A430" t="s">
        <v>21</v>
      </c>
      <c r="B430">
        <v>174</v>
      </c>
      <c r="C430">
        <v>174</v>
      </c>
      <c r="D430" s="2">
        <v>0.42</v>
      </c>
      <c r="E430" s="3">
        <v>1.9999999999999999E-47</v>
      </c>
      <c r="F430">
        <v>44.65</v>
      </c>
      <c r="G430" t="str">
        <f>HYPERLINK("https://www.ncbi.nlm.nih.gov/nucleotide/XM_009554316.1?report=genbank&amp;log$=nucltop&amp;blast_rank=18&amp;RID=1CU50H2V013","XM_009554316.1")</f>
        <v>XM_009554316.1</v>
      </c>
    </row>
    <row r="431" spans="1:7" x14ac:dyDescent="0.35">
      <c r="A431" t="s">
        <v>396</v>
      </c>
      <c r="B431">
        <v>185</v>
      </c>
      <c r="C431">
        <v>185</v>
      </c>
      <c r="D431" s="2">
        <v>0.42</v>
      </c>
      <c r="E431" s="3">
        <v>1.9999999999999999E-48</v>
      </c>
      <c r="F431">
        <v>44.39</v>
      </c>
      <c r="G431" t="str">
        <f>HYPERLINK("https://www.ncbi.nlm.nih.gov/nucleotide/XM_027759476.1?report=genbank&amp;log$=nucltop&amp;blast_rank=19&amp;RID=1CU50H2V013","XM_027759476.1")</f>
        <v>XM_027759476.1</v>
      </c>
    </row>
    <row r="432" spans="1:7" x14ac:dyDescent="0.35">
      <c r="A432" t="s">
        <v>397</v>
      </c>
      <c r="B432">
        <v>196</v>
      </c>
      <c r="C432">
        <v>196</v>
      </c>
      <c r="D432" s="2">
        <v>0.5</v>
      </c>
      <c r="E432" s="3">
        <v>3.0000000000000001E-54</v>
      </c>
      <c r="F432">
        <v>43.78</v>
      </c>
      <c r="G432" t="str">
        <f>HYPERLINK("https://www.ncbi.nlm.nih.gov/nucleotide/XM_007397903.1?report=genbank&amp;log$=nucltop&amp;blast_rank=20&amp;RID=1CU50H2V013","XM_007397903.1")</f>
        <v>XM_007397903.1</v>
      </c>
    </row>
    <row r="433" spans="1:7" x14ac:dyDescent="0.35">
      <c r="A433" t="s">
        <v>398</v>
      </c>
      <c r="B433">
        <v>186</v>
      </c>
      <c r="C433">
        <v>258</v>
      </c>
      <c r="D433" s="2">
        <v>0.6</v>
      </c>
      <c r="E433" s="3">
        <v>1.9999999999999999E-49</v>
      </c>
      <c r="F433">
        <v>43.75</v>
      </c>
      <c r="G433" t="str">
        <f>HYPERLINK("https://www.ncbi.nlm.nih.gov/nucleotide/XM_007306844.1?report=genbank&amp;log$=nucltop&amp;blast_rank=21&amp;RID=1CU50H2V013","XM_007306844.1")</f>
        <v>XM_007306844.1</v>
      </c>
    </row>
    <row r="434" spans="1:7" x14ac:dyDescent="0.35">
      <c r="A434" s="4" t="s">
        <v>399</v>
      </c>
      <c r="B434" s="4">
        <v>186</v>
      </c>
      <c r="C434" s="4">
        <v>186</v>
      </c>
      <c r="D434" s="5">
        <v>0.42</v>
      </c>
      <c r="E434" s="6">
        <v>8.9999999999999995E-51</v>
      </c>
      <c r="F434" s="4">
        <v>42.99</v>
      </c>
      <c r="G434" s="4" t="str">
        <f>HYPERLINK("https://www.ncbi.nlm.nih.gov/nucleotide/XM_007385455.1?report=genbank&amp;log$=nucltop&amp;blast_rank=22&amp;RID=1CU50H2V013","XM_007385455.1")</f>
        <v>XM_007385455.1</v>
      </c>
    </row>
    <row r="435" spans="1:7" x14ac:dyDescent="0.35">
      <c r="A435" s="4" t="s">
        <v>400</v>
      </c>
      <c r="B435" s="4">
        <v>171</v>
      </c>
      <c r="C435" s="4">
        <v>171</v>
      </c>
      <c r="D435" s="5">
        <v>0.42</v>
      </c>
      <c r="E435" s="6">
        <v>8.0000000000000006E-43</v>
      </c>
      <c r="F435" s="4">
        <v>42.79</v>
      </c>
      <c r="G435" s="4" t="str">
        <f>HYPERLINK("https://www.ncbi.nlm.nih.gov/nucleotide/XM_007262375.1?report=genbank&amp;log$=nucltop&amp;blast_rank=23&amp;RID=1CU50H2V013","XM_007262375.1")</f>
        <v>XM_007262375.1</v>
      </c>
    </row>
    <row r="436" spans="1:7" x14ac:dyDescent="0.35">
      <c r="A436" t="s">
        <v>401</v>
      </c>
      <c r="B436">
        <v>177</v>
      </c>
      <c r="C436">
        <v>177</v>
      </c>
      <c r="D436" s="2">
        <v>0.42</v>
      </c>
      <c r="E436" s="3">
        <v>5.9999999999999997E-46</v>
      </c>
      <c r="F436">
        <v>42.4</v>
      </c>
      <c r="G436" t="str">
        <f>HYPERLINK("https://www.ncbi.nlm.nih.gov/nucleotide/XM_006455985.1?report=genbank&amp;log$=nucltop&amp;blast_rank=24&amp;RID=1CU50H2V013","XM_006455985.1")</f>
        <v>XM_006455985.1</v>
      </c>
    </row>
    <row r="437" spans="1:7" x14ac:dyDescent="0.35">
      <c r="A437" t="s">
        <v>402</v>
      </c>
      <c r="B437">
        <v>177</v>
      </c>
      <c r="C437">
        <v>177</v>
      </c>
      <c r="D437" s="2">
        <v>0.42</v>
      </c>
      <c r="E437" s="3">
        <v>7.0000000000000004E-46</v>
      </c>
      <c r="F437">
        <v>42.4</v>
      </c>
      <c r="G437" t="str">
        <f>HYPERLINK("https://www.ncbi.nlm.nih.gov/nucleotide/XM_007331822.1?report=genbank&amp;log$=nucltop&amp;blast_rank=25&amp;RID=1CU50H2V013","XM_007331822.1")</f>
        <v>XM_007331822.1</v>
      </c>
    </row>
    <row r="438" spans="1:7" x14ac:dyDescent="0.35">
      <c r="A438" t="s">
        <v>403</v>
      </c>
      <c r="B438">
        <v>191</v>
      </c>
      <c r="C438">
        <v>255</v>
      </c>
      <c r="D438" s="2">
        <v>0.67</v>
      </c>
      <c r="E438" s="3">
        <v>6E-52</v>
      </c>
      <c r="F438">
        <v>40.799999999999997</v>
      </c>
      <c r="G438" t="str">
        <f>HYPERLINK("https://www.ncbi.nlm.nih.gov/nucleotide/XM_037362770.1?report=genbank&amp;log$=nucltop&amp;blast_rank=26&amp;RID=1CU50H2V013","XM_037362770.1")</f>
        <v>XM_037362770.1</v>
      </c>
    </row>
    <row r="439" spans="1:7" x14ac:dyDescent="0.35">
      <c r="A439" t="s">
        <v>126</v>
      </c>
      <c r="B439">
        <v>145</v>
      </c>
      <c r="C439">
        <v>145</v>
      </c>
      <c r="D439" s="2">
        <v>0.42</v>
      </c>
      <c r="E439" s="3">
        <v>9.0000000000000008E-34</v>
      </c>
      <c r="F439">
        <v>39.25</v>
      </c>
      <c r="G439" t="str">
        <f>HYPERLINK("https://www.ncbi.nlm.nih.gov/nucleotide/XM_007775763.1?report=genbank&amp;log$=nucltop&amp;blast_rank=27&amp;RID=1CU50H2V013","XM_007775763.1")</f>
        <v>XM_007775763.1</v>
      </c>
    </row>
    <row r="440" spans="1:7" x14ac:dyDescent="0.35">
      <c r="A440" t="s">
        <v>404</v>
      </c>
      <c r="B440">
        <v>144</v>
      </c>
      <c r="C440">
        <v>204</v>
      </c>
      <c r="D440" s="2">
        <v>0.56999999999999995</v>
      </c>
      <c r="E440" s="3">
        <v>3.9999999999999997E-34</v>
      </c>
      <c r="F440">
        <v>38.92</v>
      </c>
      <c r="G440" t="str">
        <f>HYPERLINK("https://www.ncbi.nlm.nih.gov/nucleotide/XM_036771658.1?report=genbank&amp;log$=nucltop&amp;blast_rank=28&amp;RID=1CU50H2V013","XM_036771658.1")</f>
        <v>XM_036771658.1</v>
      </c>
    </row>
    <row r="441" spans="1:7" x14ac:dyDescent="0.35">
      <c r="A441" t="s">
        <v>405</v>
      </c>
      <c r="B441">
        <v>166</v>
      </c>
      <c r="C441">
        <v>166</v>
      </c>
      <c r="D441" s="2">
        <v>0.42</v>
      </c>
      <c r="E441" s="3">
        <v>4.9999999999999996E-40</v>
      </c>
      <c r="F441">
        <v>38.65</v>
      </c>
      <c r="G441" t="str">
        <f>HYPERLINK("https://www.ncbi.nlm.nih.gov/nucleotide/CP019382.1?report=genbank&amp;log$=nucltop&amp;blast_rank=29&amp;RID=1CU50H2V013","CP019382.1")</f>
        <v>CP019382.1</v>
      </c>
    </row>
    <row r="442" spans="1:7" x14ac:dyDescent="0.35">
      <c r="A442" t="s">
        <v>406</v>
      </c>
      <c r="B442">
        <v>149</v>
      </c>
      <c r="C442">
        <v>149</v>
      </c>
      <c r="D442" s="2">
        <v>0.42</v>
      </c>
      <c r="E442" s="3">
        <v>5E-36</v>
      </c>
      <c r="F442">
        <v>38.5</v>
      </c>
      <c r="G442" t="str">
        <f>HYPERLINK("https://www.ncbi.nlm.nih.gov/nucleotide/XM_039056251.1?report=genbank&amp;log$=nucltop&amp;blast_rank=30&amp;RID=1CU50H2V013","XM_039056251.1")</f>
        <v>XM_039056251.1</v>
      </c>
    </row>
    <row r="443" spans="1:7" x14ac:dyDescent="0.35">
      <c r="A443" s="4" t="s">
        <v>407</v>
      </c>
      <c r="B443" s="4">
        <v>142</v>
      </c>
      <c r="C443" s="4">
        <v>142</v>
      </c>
      <c r="D443" s="5">
        <v>0.43</v>
      </c>
      <c r="E443" s="6">
        <v>2E-35</v>
      </c>
      <c r="F443" s="4">
        <v>38.5</v>
      </c>
      <c r="G443" s="4" t="str">
        <f>HYPERLINK("https://www.ncbi.nlm.nih.gov/nucleotide/XM_018424900.1?report=genbank&amp;log$=nucltop&amp;blast_rank=31&amp;RID=1CU50H2V013","XM_018424900.1")</f>
        <v>XM_018424900.1</v>
      </c>
    </row>
    <row r="444" spans="1:7" x14ac:dyDescent="0.35">
      <c r="A444" s="4" t="s">
        <v>408</v>
      </c>
      <c r="B444" s="4">
        <v>134</v>
      </c>
      <c r="C444" s="4">
        <v>134</v>
      </c>
      <c r="D444" s="5">
        <v>0.42</v>
      </c>
      <c r="E444" s="6">
        <v>1.0000000000000001E-30</v>
      </c>
      <c r="F444" s="4">
        <v>38.18</v>
      </c>
      <c r="G444" s="4" t="str">
        <f>HYPERLINK("https://www.ncbi.nlm.nih.gov/nucleotide/XM_003194443.1?report=genbank&amp;log$=nucltop&amp;blast_rank=32&amp;RID=1CU50H2V013","XM_003194443.1")</f>
        <v>XM_003194443.1</v>
      </c>
    </row>
    <row r="445" spans="1:7" x14ac:dyDescent="0.35">
      <c r="A445" t="s">
        <v>409</v>
      </c>
      <c r="B445">
        <v>134</v>
      </c>
      <c r="C445">
        <v>134</v>
      </c>
      <c r="D445" s="2">
        <v>0.42</v>
      </c>
      <c r="E445" s="3">
        <v>2.0000000000000002E-30</v>
      </c>
      <c r="F445">
        <v>38.18</v>
      </c>
      <c r="G445" t="str">
        <f>HYPERLINK("https://www.ncbi.nlm.nih.gov/nucleotide/XM_770139.1?report=genbank&amp;log$=nucltop&amp;blast_rank=33&amp;RID=1CU50H2V013","XM_770139.1")</f>
        <v>XM_770139.1</v>
      </c>
    </row>
    <row r="446" spans="1:7" x14ac:dyDescent="0.35">
      <c r="A446" s="4" t="s">
        <v>410</v>
      </c>
      <c r="B446" s="4">
        <v>134</v>
      </c>
      <c r="C446" s="4">
        <v>134</v>
      </c>
      <c r="D446" s="5">
        <v>0.42</v>
      </c>
      <c r="E446" s="6">
        <v>2.0000000000000002E-30</v>
      </c>
      <c r="F446" s="4">
        <v>38.18</v>
      </c>
      <c r="G446" s="4" t="str">
        <f>HYPERLINK("https://www.ncbi.nlm.nih.gov/nucleotide/HQ399545.1?report=genbank&amp;log$=nucltop&amp;blast_rank=34&amp;RID=1CU50H2V013","HQ399545.1")</f>
        <v>HQ399545.1</v>
      </c>
    </row>
    <row r="447" spans="1:7" x14ac:dyDescent="0.35">
      <c r="A447" t="s">
        <v>411</v>
      </c>
      <c r="B447">
        <v>134</v>
      </c>
      <c r="C447">
        <v>134</v>
      </c>
      <c r="D447" s="2">
        <v>0.42</v>
      </c>
      <c r="E447" s="3">
        <v>1.9999999999999999E-29</v>
      </c>
      <c r="F447">
        <v>38.18</v>
      </c>
      <c r="G447" t="str">
        <f>HYPERLINK("https://www.ncbi.nlm.nih.gov/nucleotide/XM_571034.2?report=genbank&amp;log$=nucltop&amp;blast_rank=35&amp;RID=1CU50H2V013","XM_571034.2")</f>
        <v>XM_571034.2</v>
      </c>
    </row>
    <row r="448" spans="1:7" x14ac:dyDescent="0.35">
      <c r="A448" s="4" t="s">
        <v>412</v>
      </c>
      <c r="B448" s="4">
        <v>134</v>
      </c>
      <c r="C448" s="4">
        <v>134</v>
      </c>
      <c r="D448" s="5">
        <v>0.42</v>
      </c>
      <c r="E448" s="6">
        <v>1.0000000000000001E-30</v>
      </c>
      <c r="F448" s="4">
        <v>37.96</v>
      </c>
      <c r="G448" s="4" t="str">
        <f>HYPERLINK("https://www.ncbi.nlm.nih.gov/nucleotide/XM_019193050.1?report=genbank&amp;log$=nucltop&amp;blast_rank=36&amp;RID=1CU50H2V013","XM_019193050.1")</f>
        <v>XM_019193050.1</v>
      </c>
    </row>
    <row r="449" spans="1:7" x14ac:dyDescent="0.35">
      <c r="A449" t="s">
        <v>413</v>
      </c>
      <c r="B449">
        <v>119</v>
      </c>
      <c r="C449">
        <v>119</v>
      </c>
      <c r="D449" s="2">
        <v>0.42</v>
      </c>
      <c r="E449" s="3">
        <v>1.9999999999999998E-24</v>
      </c>
      <c r="F449">
        <v>37.85</v>
      </c>
      <c r="G449" t="str">
        <f>HYPERLINK("https://www.ncbi.nlm.nih.gov/nucleotide/LT558130.1?report=genbank&amp;log$=nucltop&amp;blast_rank=37&amp;RID=1CU50H2V013","LT558130.1")</f>
        <v>LT558130.1</v>
      </c>
    </row>
    <row r="450" spans="1:7" x14ac:dyDescent="0.35">
      <c r="A450" s="4" t="s">
        <v>414</v>
      </c>
      <c r="B450" s="4">
        <v>124</v>
      </c>
      <c r="C450" s="4">
        <v>124</v>
      </c>
      <c r="D450" s="5">
        <v>0.42</v>
      </c>
      <c r="E450" s="6">
        <v>5.0000000000000002E-27</v>
      </c>
      <c r="F450" s="4">
        <v>37.729999999999997</v>
      </c>
      <c r="G450" s="4" t="str">
        <f>HYPERLINK("https://www.ncbi.nlm.nih.gov/nucleotide/XM_025507480.1?report=genbank&amp;log$=nucltop&amp;blast_rank=38&amp;RID=1CU50H2V013","XM_025507480.1")</f>
        <v>XM_025507480.1</v>
      </c>
    </row>
    <row r="451" spans="1:7" x14ac:dyDescent="0.35">
      <c r="A451" s="4" t="s">
        <v>415</v>
      </c>
      <c r="B451" s="4">
        <v>135</v>
      </c>
      <c r="C451" s="4">
        <v>135</v>
      </c>
      <c r="D451" s="5">
        <v>0.43</v>
      </c>
      <c r="E451" s="6">
        <v>2.9999999999999998E-31</v>
      </c>
      <c r="F451" s="4">
        <v>37.67</v>
      </c>
      <c r="G451" s="4" t="str">
        <f>HYPERLINK("https://www.ncbi.nlm.nih.gov/nucleotide/XM_019155149.1?report=genbank&amp;log$=nucltop&amp;blast_rank=39&amp;RID=1CU50H2V013","XM_019155149.1")</f>
        <v>XM_019155149.1</v>
      </c>
    </row>
    <row r="452" spans="1:7" x14ac:dyDescent="0.35">
      <c r="A452" s="4" t="s">
        <v>416</v>
      </c>
      <c r="B452" s="4">
        <v>135</v>
      </c>
      <c r="C452" s="4">
        <v>135</v>
      </c>
      <c r="D452" s="5">
        <v>0.43</v>
      </c>
      <c r="E452" s="6">
        <v>4.0000000000000003E-31</v>
      </c>
      <c r="F452" s="4">
        <v>37.67</v>
      </c>
      <c r="G452" s="4" t="str">
        <f>HYPERLINK("https://www.ncbi.nlm.nih.gov/nucleotide/XM_018409022.1?report=genbank&amp;log$=nucltop&amp;blast_rank=40&amp;RID=1CU50H2V013","XM_018409022.1")</f>
        <v>XM_018409022.1</v>
      </c>
    </row>
    <row r="453" spans="1:7" x14ac:dyDescent="0.35">
      <c r="A453" t="s">
        <v>417</v>
      </c>
      <c r="B453">
        <v>125</v>
      </c>
      <c r="C453">
        <v>125</v>
      </c>
      <c r="D453" s="2">
        <v>0.41</v>
      </c>
      <c r="E453" s="3">
        <v>1E-27</v>
      </c>
      <c r="F453">
        <v>37.56</v>
      </c>
      <c r="G453" t="str">
        <f>HYPERLINK("https://www.ncbi.nlm.nih.gov/nucleotide/XM_007006886.1?report=genbank&amp;log$=nucltop&amp;blast_rank=41&amp;RID=1CU50H2V013","XM_007006886.1")</f>
        <v>XM_007006886.1</v>
      </c>
    </row>
    <row r="454" spans="1:7" x14ac:dyDescent="0.35">
      <c r="A454" s="4" t="s">
        <v>418</v>
      </c>
      <c r="B454" s="4">
        <v>133</v>
      </c>
      <c r="C454" s="4">
        <v>133</v>
      </c>
      <c r="D454" s="5">
        <v>0.42</v>
      </c>
      <c r="E454" s="6">
        <v>9.9999999999999994E-30</v>
      </c>
      <c r="F454" s="4">
        <v>37.56</v>
      </c>
      <c r="G454" s="4" t="str">
        <f>HYPERLINK("https://www.ncbi.nlm.nih.gov/nucleotide/XM_012194483.1?report=genbank&amp;log$=nucltop&amp;blast_rank=42&amp;RID=1CU50H2V013","XM_012194483.1")</f>
        <v>XM_012194483.1</v>
      </c>
    </row>
    <row r="455" spans="1:7" x14ac:dyDescent="0.35">
      <c r="A455" s="4" t="s">
        <v>419</v>
      </c>
      <c r="B455" s="4">
        <v>136</v>
      </c>
      <c r="C455" s="4">
        <v>136</v>
      </c>
      <c r="D455" s="5">
        <v>0.42</v>
      </c>
      <c r="E455" s="6">
        <v>2.0000000000000002E-31</v>
      </c>
      <c r="F455" s="4">
        <v>37.39</v>
      </c>
      <c r="G455" s="4" t="str">
        <f>HYPERLINK("https://www.ncbi.nlm.nih.gov/nucleotide/XM_019179827.1?report=genbank&amp;log$=nucltop&amp;blast_rank=43&amp;RID=1CU50H2V013","XM_019179827.1")</f>
        <v>XM_019179827.1</v>
      </c>
    </row>
    <row r="456" spans="1:7" x14ac:dyDescent="0.35">
      <c r="A456" s="4" t="s">
        <v>420</v>
      </c>
      <c r="B456" s="4">
        <v>132</v>
      </c>
      <c r="C456" s="4">
        <v>132</v>
      </c>
      <c r="D456" s="5">
        <v>0.42</v>
      </c>
      <c r="E456" s="6">
        <v>4.9999999999999997E-30</v>
      </c>
      <c r="F456" s="4">
        <v>37.39</v>
      </c>
      <c r="G456" s="4" t="str">
        <f>HYPERLINK("https://www.ncbi.nlm.nih.gov/nucleotide/XM_019143722.1?report=genbank&amp;log$=nucltop&amp;blast_rank=44&amp;RID=1CU50H2V013","XM_019143722.1")</f>
        <v>XM_019143722.1</v>
      </c>
    </row>
    <row r="457" spans="1:7" x14ac:dyDescent="0.35">
      <c r="A457" t="s">
        <v>421</v>
      </c>
      <c r="B457">
        <v>117</v>
      </c>
      <c r="C457">
        <v>117</v>
      </c>
      <c r="D457" s="2">
        <v>0.42</v>
      </c>
      <c r="E457" s="3">
        <v>8.0000000000000003E-25</v>
      </c>
      <c r="F457">
        <v>37.380000000000003</v>
      </c>
      <c r="G457" t="str">
        <f>HYPERLINK("https://www.ncbi.nlm.nih.gov/nucleotide/XM_029881727.1?report=genbank&amp;log$=nucltop&amp;blast_rank=45&amp;RID=1CU50H2V013","XM_029881727.1")</f>
        <v>XM_029881727.1</v>
      </c>
    </row>
    <row r="458" spans="1:7" x14ac:dyDescent="0.35">
      <c r="A458" t="s">
        <v>422</v>
      </c>
      <c r="B458">
        <v>118</v>
      </c>
      <c r="C458">
        <v>118</v>
      </c>
      <c r="D458" s="2">
        <v>0.42</v>
      </c>
      <c r="E458" s="3">
        <v>3E-24</v>
      </c>
      <c r="F458">
        <v>37.380000000000003</v>
      </c>
      <c r="G458" t="str">
        <f>HYPERLINK("https://www.ncbi.nlm.nih.gov/nucleotide/HG529735.1?report=genbank&amp;log$=nucltop&amp;blast_rank=46&amp;RID=1CU50H2V013","HG529735.1")</f>
        <v>HG529735.1</v>
      </c>
    </row>
    <row r="459" spans="1:7" x14ac:dyDescent="0.35">
      <c r="A459" t="s">
        <v>423</v>
      </c>
      <c r="B459">
        <v>116</v>
      </c>
      <c r="C459">
        <v>116</v>
      </c>
      <c r="D459" s="2">
        <v>0.42</v>
      </c>
      <c r="E459" s="3">
        <v>1.9999999999999999E-23</v>
      </c>
      <c r="F459">
        <v>37.380000000000003</v>
      </c>
      <c r="G459" t="str">
        <f>HYPERLINK("https://www.ncbi.nlm.nih.gov/nucleotide/LK056684.1?report=genbank&amp;log$=nucltop&amp;blast_rank=47&amp;RID=1CU50H2V013","LK056684.1")</f>
        <v>LK056684.1</v>
      </c>
    </row>
    <row r="460" spans="1:7" x14ac:dyDescent="0.35">
      <c r="A460" t="s">
        <v>424</v>
      </c>
      <c r="B460">
        <v>116</v>
      </c>
      <c r="C460">
        <v>116</v>
      </c>
      <c r="D460" s="2">
        <v>0.42</v>
      </c>
      <c r="E460" s="3">
        <v>1.9999999999999999E-23</v>
      </c>
      <c r="F460">
        <v>37.380000000000003</v>
      </c>
      <c r="G460" t="str">
        <f>HYPERLINK("https://www.ncbi.nlm.nih.gov/nucleotide/CP010927.1?report=genbank&amp;log$=nucltop&amp;blast_rank=48&amp;RID=1CU50H2V013","CP010927.1")</f>
        <v>CP010927.1</v>
      </c>
    </row>
    <row r="461" spans="1:7" x14ac:dyDescent="0.35">
      <c r="A461" t="s">
        <v>425</v>
      </c>
      <c r="B461">
        <v>129</v>
      </c>
      <c r="C461">
        <v>129</v>
      </c>
      <c r="D461" s="2">
        <v>0.42</v>
      </c>
      <c r="E461" s="3">
        <v>1.9999999999999999E-28</v>
      </c>
      <c r="F461">
        <v>37.22</v>
      </c>
      <c r="G461" t="str">
        <f>HYPERLINK("https://www.ncbi.nlm.nih.gov/nucleotide/XM_025521609.1?report=genbank&amp;log$=nucltop&amp;blast_rank=49&amp;RID=1CU50H2V013","XM_025521609.1")</f>
        <v>XM_025521609.1</v>
      </c>
    </row>
    <row r="462" spans="1:7" x14ac:dyDescent="0.35">
      <c r="A462" t="s">
        <v>426</v>
      </c>
      <c r="B462">
        <v>127</v>
      </c>
      <c r="C462">
        <v>127</v>
      </c>
      <c r="D462" s="2">
        <v>0.42</v>
      </c>
      <c r="E462" s="3">
        <v>1.9999999999999999E-28</v>
      </c>
      <c r="F462">
        <v>37.21</v>
      </c>
      <c r="G462" t="str">
        <f>HYPERLINK("https://www.ncbi.nlm.nih.gov/nucleotide/XM_032005597.1?report=genbank&amp;log$=nucltop&amp;blast_rank=50&amp;RID=1CU50H2V013","XM_032005597.1")</f>
        <v>XM_032005597.1</v>
      </c>
    </row>
    <row r="463" spans="1:7" x14ac:dyDescent="0.35">
      <c r="A463" t="s">
        <v>427</v>
      </c>
      <c r="B463">
        <v>137</v>
      </c>
      <c r="C463">
        <v>137</v>
      </c>
      <c r="D463" s="2">
        <v>0.42</v>
      </c>
      <c r="E463" s="3">
        <v>1.0000000000000001E-31</v>
      </c>
      <c r="F463">
        <v>37.049999999999997</v>
      </c>
      <c r="G463" t="str">
        <f>HYPERLINK("https://www.ncbi.nlm.nih.gov/nucleotide/XM_019138643.1?report=genbank&amp;log$=nucltop&amp;blast_rank=51&amp;RID=1CU50H2V013","XM_019138643.1")</f>
        <v>XM_019138643.1</v>
      </c>
    </row>
    <row r="464" spans="1:7" x14ac:dyDescent="0.35">
      <c r="A464" t="s">
        <v>183</v>
      </c>
      <c r="B464">
        <v>115</v>
      </c>
      <c r="C464">
        <v>115</v>
      </c>
      <c r="D464" s="2">
        <v>0.42</v>
      </c>
      <c r="E464" s="3">
        <v>3E-24</v>
      </c>
      <c r="F464">
        <v>36.92</v>
      </c>
      <c r="G464" t="str">
        <f>HYPERLINK("https://www.ncbi.nlm.nih.gov/nucleotide/XM_016436758.1?report=genbank&amp;log$=nucltop&amp;blast_rank=52&amp;RID=1CU50H2V013","XM_016436758.1")</f>
        <v>XM_016436758.1</v>
      </c>
    </row>
    <row r="465" spans="1:7" x14ac:dyDescent="0.35">
      <c r="A465" t="s">
        <v>428</v>
      </c>
      <c r="B465">
        <v>122</v>
      </c>
      <c r="C465">
        <v>122</v>
      </c>
      <c r="D465" s="2">
        <v>0.42</v>
      </c>
      <c r="E465" s="3">
        <v>3.0000000000000001E-26</v>
      </c>
      <c r="F465">
        <v>36.450000000000003</v>
      </c>
      <c r="G465" t="str">
        <f>HYPERLINK("https://www.ncbi.nlm.nih.gov/nucleotide/XM_011391860.1?report=genbank&amp;log$=nucltop&amp;blast_rank=53&amp;RID=1CU50H2V013","XM_011391860.1")</f>
        <v>XM_011391860.1</v>
      </c>
    </row>
    <row r="466" spans="1:7" x14ac:dyDescent="0.35">
      <c r="A466" t="s">
        <v>170</v>
      </c>
      <c r="B466">
        <v>115</v>
      </c>
      <c r="C466">
        <v>115</v>
      </c>
      <c r="D466" s="2">
        <v>0.42</v>
      </c>
      <c r="E466" s="3">
        <v>5.9999999999999999E-24</v>
      </c>
      <c r="F466">
        <v>36.450000000000003</v>
      </c>
      <c r="G466" t="str">
        <f>HYPERLINK("https://www.ncbi.nlm.nih.gov/nucleotide/XM_012334052.1?report=genbank&amp;log$=nucltop&amp;blast_rank=54&amp;RID=1CU50H2V013","XM_012334052.1")</f>
        <v>XM_012334052.1</v>
      </c>
    </row>
    <row r="467" spans="1:7" x14ac:dyDescent="0.35">
      <c r="A467" t="s">
        <v>429</v>
      </c>
      <c r="B467">
        <v>114</v>
      </c>
      <c r="C467">
        <v>114</v>
      </c>
      <c r="D467" s="2">
        <v>0.42</v>
      </c>
      <c r="E467" s="3">
        <v>1E-22</v>
      </c>
      <c r="F467">
        <v>36.450000000000003</v>
      </c>
      <c r="G467" t="str">
        <f>HYPERLINK("https://www.ncbi.nlm.nih.gov/nucleotide/FQ311431.1?report=genbank&amp;log$=nucltop&amp;blast_rank=55&amp;RID=1CU50H2V013","FQ311431.1")</f>
        <v>FQ311431.1</v>
      </c>
    </row>
    <row r="468" spans="1:7" x14ac:dyDescent="0.35">
      <c r="A468" t="s">
        <v>430</v>
      </c>
      <c r="B468">
        <v>113</v>
      </c>
      <c r="C468">
        <v>113</v>
      </c>
      <c r="D468" s="2">
        <v>0.42</v>
      </c>
      <c r="E468" s="3">
        <v>2.0000000000000001E-22</v>
      </c>
      <c r="F468">
        <v>36.450000000000003</v>
      </c>
      <c r="G468" t="str">
        <f>HYPERLINK("https://www.ncbi.nlm.nih.gov/nucleotide/LT795063.1?report=genbank&amp;log$=nucltop&amp;blast_rank=56&amp;RID=1CU50H2V013","LT795063.1")</f>
        <v>LT795063.1</v>
      </c>
    </row>
    <row r="469" spans="1:7" x14ac:dyDescent="0.35">
      <c r="A469" t="s">
        <v>185</v>
      </c>
      <c r="B469">
        <v>117</v>
      </c>
      <c r="C469">
        <v>117</v>
      </c>
      <c r="D469" s="2">
        <v>0.42</v>
      </c>
      <c r="E469" s="3">
        <v>2.9999999999999998E-25</v>
      </c>
      <c r="F469">
        <v>36.28</v>
      </c>
      <c r="G469" t="str">
        <f>HYPERLINK("https://www.ncbi.nlm.nih.gov/nucleotide/XM_007878763.1?report=genbank&amp;log$=nucltop&amp;blast_rank=57&amp;RID=1CU50H2V013","XM_007878763.1")</f>
        <v>XM_007878763.1</v>
      </c>
    </row>
    <row r="470" spans="1:7" x14ac:dyDescent="0.35">
      <c r="A470" t="s">
        <v>431</v>
      </c>
      <c r="B470">
        <v>128</v>
      </c>
      <c r="C470">
        <v>128</v>
      </c>
      <c r="D470" s="2">
        <v>0.42</v>
      </c>
      <c r="E470" s="3">
        <v>3.9999999999999999E-28</v>
      </c>
      <c r="F470">
        <v>36.159999999999997</v>
      </c>
      <c r="G470" t="str">
        <f>HYPERLINK("https://www.ncbi.nlm.nih.gov/nucleotide/XM_022012622.1?report=genbank&amp;log$=nucltop&amp;blast_rank=58&amp;RID=1CU50H2V013","XM_022012622.1")</f>
        <v>XM_022012622.1</v>
      </c>
    </row>
    <row r="471" spans="1:7" x14ac:dyDescent="0.35">
      <c r="A471" s="4" t="s">
        <v>432</v>
      </c>
      <c r="B471" s="4">
        <v>131</v>
      </c>
      <c r="C471" s="4">
        <v>131</v>
      </c>
      <c r="D471" s="5">
        <v>0.42</v>
      </c>
      <c r="E471" s="6">
        <v>9.9999999999999994E-30</v>
      </c>
      <c r="F471" s="4">
        <v>36.15</v>
      </c>
      <c r="G471" s="4" t="str">
        <f>HYPERLINK("https://www.ncbi.nlm.nih.gov/nucleotide/XM_013385617.1?report=genbank&amp;log$=nucltop&amp;blast_rank=59&amp;RID=1CU50H2V013","XM_013385617.1")</f>
        <v>XM_013385617.1</v>
      </c>
    </row>
    <row r="472" spans="1:7" x14ac:dyDescent="0.35">
      <c r="A472" t="s">
        <v>433</v>
      </c>
      <c r="B472">
        <v>117</v>
      </c>
      <c r="C472">
        <v>117</v>
      </c>
      <c r="D472" s="2">
        <v>0.42</v>
      </c>
      <c r="E472" s="3">
        <v>3.0000000000000001E-26</v>
      </c>
      <c r="F472">
        <v>35.840000000000003</v>
      </c>
      <c r="G472" t="str">
        <f>HYPERLINK("https://www.ncbi.nlm.nih.gov/nucleotide/XM_025496346.1?report=genbank&amp;log$=nucltop&amp;blast_rank=60&amp;RID=1CU50H2V013","XM_025496346.1")</f>
        <v>XM_025496346.1</v>
      </c>
    </row>
    <row r="473" spans="1:7" x14ac:dyDescent="0.35">
      <c r="A473" t="s">
        <v>434</v>
      </c>
      <c r="B473">
        <v>118</v>
      </c>
      <c r="C473">
        <v>118</v>
      </c>
      <c r="D473" s="2">
        <v>0.39</v>
      </c>
      <c r="E473" s="3">
        <v>9.0000000000000002E-25</v>
      </c>
      <c r="F473">
        <v>35.15</v>
      </c>
      <c r="G473" t="str">
        <f>HYPERLINK("https://www.ncbi.nlm.nih.gov/nucleotide/XM_014800184.1?report=genbank&amp;log$=nucltop&amp;blast_rank=61&amp;RID=1CU50H2V013","XM_014800184.1")</f>
        <v>XM_014800184.1</v>
      </c>
    </row>
    <row r="474" spans="1:7" x14ac:dyDescent="0.35">
      <c r="A474" t="s">
        <v>326</v>
      </c>
      <c r="B474">
        <v>121</v>
      </c>
      <c r="C474">
        <v>121</v>
      </c>
      <c r="D474" s="2">
        <v>0.41</v>
      </c>
      <c r="E474" s="3">
        <v>1E-25</v>
      </c>
      <c r="F474">
        <v>35.020000000000003</v>
      </c>
      <c r="G474" t="str">
        <f>HYPERLINK("https://www.ncbi.nlm.nih.gov/nucleotide/XM_014715922.1?report=genbank&amp;log$=nucltop&amp;blast_rank=62&amp;RID=1CU50H2V013","XM_014715922.1")</f>
        <v>XM_014715922.1</v>
      </c>
    </row>
    <row r="475" spans="1:7" x14ac:dyDescent="0.35">
      <c r="A475" t="s">
        <v>435</v>
      </c>
      <c r="B475">
        <v>129</v>
      </c>
      <c r="C475">
        <v>129</v>
      </c>
      <c r="D475" s="2">
        <v>0.42</v>
      </c>
      <c r="E475" s="3">
        <v>1.9999999999999999E-28</v>
      </c>
      <c r="F475">
        <v>34.75</v>
      </c>
      <c r="G475" t="str">
        <f>HYPERLINK("https://www.ncbi.nlm.nih.gov/nucleotide/XM_003319999.2?report=genbank&amp;log$=nucltop&amp;blast_rank=63&amp;RID=1CU50H2V013","XM_003319999.2")</f>
        <v>XM_003319999.2</v>
      </c>
    </row>
    <row r="476" spans="1:7" x14ac:dyDescent="0.35">
      <c r="A476" t="s">
        <v>436</v>
      </c>
      <c r="B476">
        <v>129</v>
      </c>
      <c r="C476">
        <v>129</v>
      </c>
      <c r="D476" s="2">
        <v>0.42</v>
      </c>
      <c r="E476" s="3">
        <v>5.0000000000000002E-28</v>
      </c>
      <c r="F476">
        <v>34.75</v>
      </c>
      <c r="G476" t="str">
        <f>HYPERLINK("https://www.ncbi.nlm.nih.gov/nucleotide/XM_003337970.2?report=genbank&amp;log$=nucltop&amp;blast_rank=64&amp;RID=1CU50H2V013","XM_003337970.2")</f>
        <v>XM_003337970.2</v>
      </c>
    </row>
    <row r="477" spans="1:7" x14ac:dyDescent="0.35">
      <c r="A477" s="4" t="s">
        <v>437</v>
      </c>
      <c r="B477" s="4">
        <v>116</v>
      </c>
      <c r="C477" s="4">
        <v>116</v>
      </c>
      <c r="D477" s="5">
        <v>0.42</v>
      </c>
      <c r="E477" s="6">
        <v>6.9999999999999997E-26</v>
      </c>
      <c r="F477" s="4">
        <v>34.53</v>
      </c>
      <c r="G477" s="4" t="str">
        <f>HYPERLINK("https://www.ncbi.nlm.nih.gov/nucleotide/XM_028624687.1?report=genbank&amp;log$=nucltop&amp;blast_rank=65&amp;RID=1CU50H2V013","XM_028624687.1")</f>
        <v>XM_028624687.1</v>
      </c>
    </row>
    <row r="478" spans="1:7" x14ac:dyDescent="0.35">
      <c r="A478" t="s">
        <v>166</v>
      </c>
      <c r="B478">
        <v>113</v>
      </c>
      <c r="C478">
        <v>163</v>
      </c>
      <c r="D478" s="2">
        <v>0.44</v>
      </c>
      <c r="E478" s="3">
        <v>2.0000000000000001E-22</v>
      </c>
      <c r="F478">
        <v>34.18</v>
      </c>
      <c r="G478" t="str">
        <f>HYPERLINK("https://www.ncbi.nlm.nih.gov/nucleotide/CP060305.1?report=genbank&amp;log$=nucltop&amp;blast_rank=66&amp;RID=1CU50H2V013","CP060305.1")</f>
        <v>CP060305.1</v>
      </c>
    </row>
    <row r="479" spans="1:7" x14ac:dyDescent="0.35">
      <c r="A479" t="s">
        <v>438</v>
      </c>
      <c r="B479">
        <v>116</v>
      </c>
      <c r="C479">
        <v>116</v>
      </c>
      <c r="D479" s="2">
        <v>0.42</v>
      </c>
      <c r="E479" s="3">
        <v>4.9999999999999998E-24</v>
      </c>
      <c r="F479">
        <v>34.06</v>
      </c>
      <c r="G479" t="str">
        <f>HYPERLINK("https://www.ncbi.nlm.nih.gov/nucleotide/XM_025493523.1?report=genbank&amp;log$=nucltop&amp;blast_rank=67&amp;RID=1CU50H2V013","XM_025493523.1")</f>
        <v>XM_025493523.1</v>
      </c>
    </row>
    <row r="480" spans="1:7" x14ac:dyDescent="0.35">
      <c r="A480" s="4" t="s">
        <v>439</v>
      </c>
      <c r="B480" s="4">
        <v>119</v>
      </c>
      <c r="C480" s="4">
        <v>119</v>
      </c>
      <c r="D480" s="5">
        <v>0.42</v>
      </c>
      <c r="E480" s="6">
        <v>2.0000000000000001E-25</v>
      </c>
      <c r="F480" s="4">
        <v>33.479999999999997</v>
      </c>
      <c r="G480" s="4" t="str">
        <f>HYPERLINK("https://www.ncbi.nlm.nih.gov/nucleotide/XM_016417699.1?report=genbank&amp;log$=nucltop&amp;blast_rank=68&amp;RID=1CU50H2V013","XM_016417699.1")</f>
        <v>XM_016417699.1</v>
      </c>
    </row>
    <row r="481" spans="1:7" x14ac:dyDescent="0.35">
      <c r="A481" t="s">
        <v>440</v>
      </c>
      <c r="B481">
        <v>121</v>
      </c>
      <c r="C481">
        <v>121</v>
      </c>
      <c r="D481" s="2">
        <v>0.43</v>
      </c>
      <c r="E481" s="3">
        <v>6.0000000000000002E-26</v>
      </c>
      <c r="F481">
        <v>33.33</v>
      </c>
      <c r="G481" t="str">
        <f>HYPERLINK("https://www.ncbi.nlm.nih.gov/nucleotide/XM_007411685.1?report=genbank&amp;log$=nucltop&amp;blast_rank=69&amp;RID=1CU50H2V013","XM_007411685.1")</f>
        <v>XM_007411685.1</v>
      </c>
    </row>
    <row r="482" spans="1:7" x14ac:dyDescent="0.35">
      <c r="A482" t="s">
        <v>441</v>
      </c>
      <c r="B482">
        <v>104</v>
      </c>
      <c r="C482">
        <v>104</v>
      </c>
      <c r="D482" s="2">
        <v>0.41</v>
      </c>
      <c r="E482" s="3">
        <v>6.0000000000000006E-20</v>
      </c>
      <c r="F482">
        <v>33.18</v>
      </c>
      <c r="G482" t="str">
        <f>HYPERLINK("https://www.ncbi.nlm.nih.gov/nucleotide/XM_025745181.1?report=genbank&amp;log$=nucltop&amp;blast_rank=70&amp;RID=1CU50H2V013","XM_025745181.1")</f>
        <v>XM_025745181.1</v>
      </c>
    </row>
    <row r="483" spans="1:7" x14ac:dyDescent="0.35">
      <c r="A483" t="s">
        <v>442</v>
      </c>
      <c r="B483">
        <v>116</v>
      </c>
      <c r="C483">
        <v>116</v>
      </c>
      <c r="D483" s="2">
        <v>0.42</v>
      </c>
      <c r="E483" s="3">
        <v>9.9999999999999996E-24</v>
      </c>
      <c r="F483">
        <v>32.03</v>
      </c>
      <c r="G483" t="str">
        <f>HYPERLINK("https://www.ncbi.nlm.nih.gov/nucleotide/XM_025513131.1?report=genbank&amp;log$=nucltop&amp;blast_rank=71&amp;RID=1CU50H2V013","XM_025513131.1")</f>
        <v>XM_025513131.1</v>
      </c>
    </row>
    <row r="484" spans="1:7" x14ac:dyDescent="0.35">
      <c r="A484" t="s">
        <v>443</v>
      </c>
      <c r="B484">
        <v>115</v>
      </c>
      <c r="C484">
        <v>115</v>
      </c>
      <c r="D484" s="2">
        <v>0.42</v>
      </c>
      <c r="E484" s="3">
        <v>1.9999999999999999E-23</v>
      </c>
      <c r="F484">
        <v>30.23</v>
      </c>
      <c r="G484" t="str">
        <f>HYPERLINK("https://www.ncbi.nlm.nih.gov/nucleotide/XM_007874156.1?report=genbank&amp;log$=nucltop&amp;blast_rank=72&amp;RID=1CU50H2V013","XM_007874156.1")</f>
        <v>XM_007874156.1</v>
      </c>
    </row>
    <row r="485" spans="1:7" x14ac:dyDescent="0.35">
      <c r="A485" t="s">
        <v>444</v>
      </c>
      <c r="B485">
        <v>112</v>
      </c>
      <c r="C485">
        <v>112</v>
      </c>
      <c r="D485" s="2">
        <v>0.42</v>
      </c>
      <c r="E485" s="3">
        <v>2.0000000000000001E-22</v>
      </c>
      <c r="F485">
        <v>30.23</v>
      </c>
      <c r="G485" t="str">
        <f>HYPERLINK("https://www.ncbi.nlm.nih.gov/nucleotide/XM_018369006.1?report=genbank&amp;log$=nucltop&amp;blast_rank=73&amp;RID=1CU50H2V013","XM_018369006.1")</f>
        <v>XM_018369006.1</v>
      </c>
    </row>
    <row r="486" spans="1:7" x14ac:dyDescent="0.35">
      <c r="A486" t="s">
        <v>445</v>
      </c>
      <c r="B486">
        <v>107</v>
      </c>
      <c r="C486">
        <v>107</v>
      </c>
      <c r="D486" s="2">
        <v>0.42</v>
      </c>
      <c r="E486" s="3">
        <v>3.9999999999999996E-21</v>
      </c>
      <c r="F486">
        <v>30.18</v>
      </c>
      <c r="G486" t="str">
        <f>HYPERLINK("https://www.ncbi.nlm.nih.gov/nucleotide/XM_022027061.1?report=genbank&amp;log$=nucltop&amp;blast_rank=74&amp;RID=1CU50H2V013","XM_022027061.1")</f>
        <v>XM_022027061.1</v>
      </c>
    </row>
    <row r="487" spans="1:7" x14ac:dyDescent="0.35">
      <c r="A487" t="s">
        <v>446</v>
      </c>
      <c r="B487">
        <v>97.4</v>
      </c>
      <c r="C487">
        <v>97.4</v>
      </c>
      <c r="D487" s="2">
        <v>0.41</v>
      </c>
      <c r="E487" s="3">
        <v>2.0000000000000001E-17</v>
      </c>
      <c r="F487">
        <v>29.49</v>
      </c>
      <c r="G487" t="str">
        <f>HYPERLINK("https://www.ncbi.nlm.nih.gov/nucleotide/XM_031999984.1?report=genbank&amp;log$=nucltop&amp;blast_rank=75&amp;RID=1CU50H2V013","XM_031999984.1")</f>
        <v>XM_031999984.1</v>
      </c>
    </row>
    <row r="488" spans="1:7" x14ac:dyDescent="0.35">
      <c r="A488" s="4" t="s">
        <v>447</v>
      </c>
      <c r="B488" s="4">
        <v>92</v>
      </c>
      <c r="C488" s="4">
        <v>92</v>
      </c>
      <c r="D488" s="5">
        <v>0.41</v>
      </c>
      <c r="E488" s="6">
        <v>1.0000000000000001E-15</v>
      </c>
      <c r="F488" s="4">
        <v>28.84</v>
      </c>
      <c r="G488" s="4" t="str">
        <f>HYPERLINK("https://www.ncbi.nlm.nih.gov/nucleotide/XM_706207.2?report=genbank&amp;log$=nucltop&amp;blast_rank=76&amp;RID=1CU50H2V013","XM_706207.2")</f>
        <v>XM_706207.2</v>
      </c>
    </row>
    <row r="489" spans="1:7" x14ac:dyDescent="0.35">
      <c r="A489" t="s">
        <v>448</v>
      </c>
      <c r="B489">
        <v>91.7</v>
      </c>
      <c r="C489">
        <v>91.7</v>
      </c>
      <c r="D489" s="2">
        <v>0.41</v>
      </c>
      <c r="E489" s="3">
        <v>2.0000000000000002E-15</v>
      </c>
      <c r="F489">
        <v>28.84</v>
      </c>
      <c r="G489" t="str">
        <f>HYPERLINK("https://www.ncbi.nlm.nih.gov/nucleotide/CP025182.1?report=genbank&amp;log$=nucltop&amp;blast_rank=77&amp;RID=1CU50H2V013","CP025182.1")</f>
        <v>CP025182.1</v>
      </c>
    </row>
    <row r="490" spans="1:7" x14ac:dyDescent="0.35">
      <c r="A490" t="s">
        <v>449</v>
      </c>
      <c r="B490">
        <v>91.7</v>
      </c>
      <c r="C490">
        <v>91.7</v>
      </c>
      <c r="D490" s="2">
        <v>0.41</v>
      </c>
      <c r="E490" s="3">
        <v>2.0000000000000002E-15</v>
      </c>
      <c r="F490">
        <v>28.84</v>
      </c>
      <c r="G490" t="str">
        <f>HYPERLINK("https://www.ncbi.nlm.nih.gov/nucleotide/CP025174.1?report=genbank&amp;log$=nucltop&amp;blast_rank=78&amp;RID=1CU50H2V013","CP025174.1")</f>
        <v>CP025174.1</v>
      </c>
    </row>
    <row r="491" spans="1:7" x14ac:dyDescent="0.35">
      <c r="A491" t="s">
        <v>450</v>
      </c>
      <c r="B491">
        <v>91.7</v>
      </c>
      <c r="C491">
        <v>91.7</v>
      </c>
      <c r="D491" s="2">
        <v>0.41</v>
      </c>
      <c r="E491" s="3">
        <v>2.0000000000000002E-15</v>
      </c>
      <c r="F491">
        <v>28.84</v>
      </c>
      <c r="G491" t="str">
        <f>HYPERLINK("https://www.ncbi.nlm.nih.gov/nucleotide/CP025165.1?report=genbank&amp;log$=nucltop&amp;blast_rank=79&amp;RID=1CU50H2V013","CP025165.1")</f>
        <v>CP025165.1</v>
      </c>
    </row>
    <row r="492" spans="1:7" x14ac:dyDescent="0.35">
      <c r="A492" t="s">
        <v>451</v>
      </c>
      <c r="B492">
        <v>91.7</v>
      </c>
      <c r="C492">
        <v>91.7</v>
      </c>
      <c r="D492" s="2">
        <v>0.41</v>
      </c>
      <c r="E492" s="3">
        <v>2.0000000000000002E-15</v>
      </c>
      <c r="F492">
        <v>28.84</v>
      </c>
      <c r="G492" t="str">
        <f>HYPERLINK("https://www.ncbi.nlm.nih.gov/nucleotide/CP025157.1?report=genbank&amp;log$=nucltop&amp;blast_rank=80&amp;RID=1CU50H2V013","CP025157.1")</f>
        <v>CP025157.1</v>
      </c>
    </row>
    <row r="493" spans="1:7" x14ac:dyDescent="0.35">
      <c r="A493" t="s">
        <v>452</v>
      </c>
      <c r="B493">
        <v>91.7</v>
      </c>
      <c r="C493">
        <v>91.7</v>
      </c>
      <c r="D493" s="2">
        <v>0.41</v>
      </c>
      <c r="E493" s="3">
        <v>2.0000000000000002E-15</v>
      </c>
      <c r="F493">
        <v>28.84</v>
      </c>
      <c r="G493" t="str">
        <f>HYPERLINK("https://www.ncbi.nlm.nih.gov/nucleotide/CP017630.1?report=genbank&amp;log$=nucltop&amp;blast_rank=81&amp;RID=1CU50H2V013","CP017630.1")</f>
        <v>CP017630.1</v>
      </c>
    </row>
    <row r="494" spans="1:7" x14ac:dyDescent="0.35">
      <c r="A494" t="s">
        <v>453</v>
      </c>
      <c r="B494">
        <v>91.7</v>
      </c>
      <c r="C494">
        <v>91.7</v>
      </c>
      <c r="D494" s="2">
        <v>0.41</v>
      </c>
      <c r="E494" s="3">
        <v>2.9999999999999998E-15</v>
      </c>
      <c r="F494">
        <v>28.84</v>
      </c>
      <c r="G494" t="str">
        <f>HYPERLINK("https://www.ncbi.nlm.nih.gov/nucleotide/CP032012.1?report=genbank&amp;log$=nucltop&amp;blast_rank=82&amp;RID=1CU50H2V013","CP032012.1")</f>
        <v>CP032012.1</v>
      </c>
    </row>
    <row r="495" spans="1:7" x14ac:dyDescent="0.35">
      <c r="A495" t="s">
        <v>454</v>
      </c>
      <c r="B495">
        <v>106</v>
      </c>
      <c r="C495">
        <v>106</v>
      </c>
      <c r="D495" s="2">
        <v>0.43</v>
      </c>
      <c r="E495" s="3">
        <v>9.9999999999999995E-21</v>
      </c>
      <c r="F495">
        <v>28.44</v>
      </c>
      <c r="G495" t="str">
        <f>HYPERLINK("https://www.ncbi.nlm.nih.gov/nucleotide/XM_025319938.1?report=genbank&amp;log$=nucltop&amp;blast_rank=83&amp;RID=1CU50H2V013","XM_025319938.1")</f>
        <v>XM_025319938.1</v>
      </c>
    </row>
    <row r="496" spans="1:7" x14ac:dyDescent="0.35">
      <c r="A496" t="s">
        <v>455</v>
      </c>
      <c r="B496">
        <v>89</v>
      </c>
      <c r="C496">
        <v>89</v>
      </c>
      <c r="D496" s="2">
        <v>0.42</v>
      </c>
      <c r="E496" s="3">
        <v>1E-14</v>
      </c>
      <c r="F496">
        <v>28.12</v>
      </c>
      <c r="G496" t="str">
        <f>HYPERLINK("https://www.ncbi.nlm.nih.gov/nucleotide/XM_018882581.1?report=genbank&amp;log$=nucltop&amp;blast_rank=84&amp;RID=1CU50H2V013","XM_018882581.1")</f>
        <v>XM_018882581.1</v>
      </c>
    </row>
    <row r="497" spans="1:7" x14ac:dyDescent="0.35">
      <c r="A497" t="s">
        <v>456</v>
      </c>
      <c r="B497">
        <v>91.3</v>
      </c>
      <c r="C497">
        <v>91.3</v>
      </c>
      <c r="D497" s="2">
        <v>0.41</v>
      </c>
      <c r="E497" s="3">
        <v>2.0000000000000002E-15</v>
      </c>
      <c r="F497">
        <v>28.1</v>
      </c>
      <c r="G497" t="str">
        <f>HYPERLINK("https://www.ncbi.nlm.nih.gov/nucleotide/XM_024858447.1?report=genbank&amp;log$=nucltop&amp;blast_rank=85&amp;RID=1CU50H2V013","XM_024858447.1")</f>
        <v>XM_024858447.1</v>
      </c>
    </row>
    <row r="498" spans="1:7" x14ac:dyDescent="0.35">
      <c r="A498" t="s">
        <v>457</v>
      </c>
      <c r="B498">
        <v>91.3</v>
      </c>
      <c r="C498">
        <v>91.3</v>
      </c>
      <c r="D498" s="2">
        <v>0.41</v>
      </c>
      <c r="E498" s="3">
        <v>1.0000000000000001E-15</v>
      </c>
      <c r="F498">
        <v>28.04</v>
      </c>
      <c r="G498" t="str">
        <f>HYPERLINK("https://www.ncbi.nlm.nih.gov/nucleotide/XM_025480965.1?report=genbank&amp;log$=nucltop&amp;blast_rank=86&amp;RID=1CU50H2V013","XM_025480965.1")</f>
        <v>XM_025480965.1</v>
      </c>
    </row>
    <row r="499" spans="1:7" x14ac:dyDescent="0.35">
      <c r="A499" t="s">
        <v>458</v>
      </c>
      <c r="B499">
        <v>93.6</v>
      </c>
      <c r="C499">
        <v>93.6</v>
      </c>
      <c r="D499" s="2">
        <v>0.41</v>
      </c>
      <c r="E499" s="3">
        <v>2.9999999999999999E-16</v>
      </c>
      <c r="F499">
        <v>27.83</v>
      </c>
      <c r="G499" t="str">
        <f>HYPERLINK("https://www.ncbi.nlm.nih.gov/nucleotide/XM_007373298.1?report=genbank&amp;log$=nucltop&amp;blast_rank=87&amp;RID=1CU50H2V013","XM_007373298.1")</f>
        <v>XM_007373298.1</v>
      </c>
    </row>
    <row r="500" spans="1:7" x14ac:dyDescent="0.35">
      <c r="A500" t="s">
        <v>459</v>
      </c>
      <c r="B500">
        <v>89.4</v>
      </c>
      <c r="C500">
        <v>89.4</v>
      </c>
      <c r="D500" s="2">
        <v>0.41</v>
      </c>
      <c r="E500" s="3">
        <v>5.9999999999999997E-15</v>
      </c>
      <c r="F500">
        <v>27.57</v>
      </c>
      <c r="G500" t="str">
        <f>HYPERLINK("https://www.ncbi.nlm.nih.gov/nucleotide/XM_025485127.1?report=genbank&amp;log$=nucltop&amp;blast_rank=88&amp;RID=1CU50H2V013","XM_025485127.1")</f>
        <v>XM_025485127.1</v>
      </c>
    </row>
    <row r="501" spans="1:7" x14ac:dyDescent="0.35">
      <c r="A501" t="s">
        <v>460</v>
      </c>
      <c r="B501">
        <v>89.7</v>
      </c>
      <c r="C501">
        <v>89.7</v>
      </c>
      <c r="D501" s="2">
        <v>0.41</v>
      </c>
      <c r="E501" s="3">
        <v>5.9999999999999997E-15</v>
      </c>
      <c r="F501">
        <v>27.44</v>
      </c>
      <c r="G501" t="str">
        <f>HYPERLINK("https://www.ncbi.nlm.nih.gov/nucleotide/XM_002422386.1?report=genbank&amp;log$=nucltop&amp;blast_rank=89&amp;RID=1CU50H2V013","XM_002422386.1")</f>
        <v>XM_002422386.1</v>
      </c>
    </row>
    <row r="502" spans="1:7" x14ac:dyDescent="0.35">
      <c r="A502" t="s">
        <v>461</v>
      </c>
      <c r="B502">
        <v>89.4</v>
      </c>
      <c r="C502">
        <v>89.4</v>
      </c>
      <c r="D502" s="2">
        <v>0.41</v>
      </c>
      <c r="E502" s="3">
        <v>1E-14</v>
      </c>
      <c r="F502">
        <v>27.44</v>
      </c>
      <c r="G502" t="str">
        <f>HYPERLINK("https://www.ncbi.nlm.nih.gov/nucleotide/FM992695.1?report=genbank&amp;log$=nucltop&amp;blast_rank=90&amp;RID=1CU50H2V013","FM992695.1")</f>
        <v>FM992695.1</v>
      </c>
    </row>
    <row r="503" spans="1:7" x14ac:dyDescent="0.35">
      <c r="A503" t="s">
        <v>462</v>
      </c>
      <c r="B503">
        <v>90.5</v>
      </c>
      <c r="C503">
        <v>90.5</v>
      </c>
      <c r="D503" s="2">
        <v>0.42</v>
      </c>
      <c r="E503" s="3">
        <v>5.9999999999999997E-15</v>
      </c>
      <c r="F503">
        <v>27.4</v>
      </c>
      <c r="G503" t="str">
        <f>HYPERLINK("https://www.ncbi.nlm.nih.gov/nucleotide/CP050654.1?report=genbank&amp;log$=nucltop&amp;blast_rank=91&amp;RID=1CU50H2V013","CP050654.1")</f>
        <v>CP050654.1</v>
      </c>
    </row>
    <row r="504" spans="1:7" x14ac:dyDescent="0.35">
      <c r="A504" t="s">
        <v>463</v>
      </c>
      <c r="B504">
        <v>90.5</v>
      </c>
      <c r="C504">
        <v>90.5</v>
      </c>
      <c r="D504" s="2">
        <v>0.42</v>
      </c>
      <c r="E504" s="3">
        <v>5.9999999999999997E-15</v>
      </c>
      <c r="F504">
        <v>27.4</v>
      </c>
      <c r="G504" t="str">
        <f>HYPERLINK("https://www.ncbi.nlm.nih.gov/nucleotide/CP050668.1?report=genbank&amp;log$=nucltop&amp;blast_rank=92&amp;RID=1CU50H2V013","CP050668.1")</f>
        <v>CP050668.1</v>
      </c>
    </row>
    <row r="505" spans="1:7" x14ac:dyDescent="0.35">
      <c r="A505" t="s">
        <v>464</v>
      </c>
      <c r="B505">
        <v>90.5</v>
      </c>
      <c r="C505">
        <v>90.5</v>
      </c>
      <c r="D505" s="2">
        <v>0.42</v>
      </c>
      <c r="E505" s="3">
        <v>5.9999999999999997E-15</v>
      </c>
      <c r="F505">
        <v>27.4</v>
      </c>
      <c r="G505" t="str">
        <f>HYPERLINK("https://www.ncbi.nlm.nih.gov/nucleotide/CP043443.1?report=genbank&amp;log$=nucltop&amp;blast_rank=93&amp;RID=1CU50H2V013","CP043443.1")</f>
        <v>CP043443.1</v>
      </c>
    </row>
    <row r="506" spans="1:7" x14ac:dyDescent="0.35">
      <c r="A506" t="s">
        <v>465</v>
      </c>
      <c r="B506">
        <v>90.5</v>
      </c>
      <c r="C506">
        <v>90.5</v>
      </c>
      <c r="D506" s="2">
        <v>0.42</v>
      </c>
      <c r="E506" s="3">
        <v>5.9999999999999997E-15</v>
      </c>
      <c r="F506">
        <v>27.4</v>
      </c>
      <c r="G506" t="str">
        <f>HYPERLINK("https://www.ncbi.nlm.nih.gov/nucleotide/CP041136.1?report=genbank&amp;log$=nucltop&amp;blast_rank=94&amp;RID=1CU50H2V013","CP041136.1")</f>
        <v>CP041136.1</v>
      </c>
    </row>
    <row r="507" spans="1:7" x14ac:dyDescent="0.35">
      <c r="A507" t="s">
        <v>466</v>
      </c>
      <c r="B507">
        <v>90.1</v>
      </c>
      <c r="C507">
        <v>90.1</v>
      </c>
      <c r="D507" s="2">
        <v>0.42</v>
      </c>
      <c r="E507" s="3">
        <v>7.0000000000000001E-15</v>
      </c>
      <c r="F507">
        <v>27.4</v>
      </c>
      <c r="G507" t="str">
        <f>HYPERLINK("https://www.ncbi.nlm.nih.gov/nucleotide/CP061160.1?report=genbank&amp;log$=nucltop&amp;blast_rank=95&amp;RID=1CU50H2V013","CP061160.1")</f>
        <v>CP061160.1</v>
      </c>
    </row>
    <row r="508" spans="1:7" x14ac:dyDescent="0.35">
      <c r="A508" t="s">
        <v>467</v>
      </c>
      <c r="B508">
        <v>90.5</v>
      </c>
      <c r="C508">
        <v>90.5</v>
      </c>
      <c r="D508" s="2">
        <v>0.41</v>
      </c>
      <c r="E508" s="3">
        <v>5.9999999999999997E-15</v>
      </c>
      <c r="F508">
        <v>27.31</v>
      </c>
      <c r="G508" t="str">
        <f>HYPERLINK("https://www.ncbi.nlm.nih.gov/nucleotide/LT635764.1?report=genbank&amp;log$=nucltop&amp;blast_rank=96&amp;RID=1CU50H2V013","LT635764.1")</f>
        <v>LT635764.1</v>
      </c>
    </row>
    <row r="509" spans="1:7" x14ac:dyDescent="0.35">
      <c r="A509" t="s">
        <v>468</v>
      </c>
      <c r="B509">
        <v>90.1</v>
      </c>
      <c r="C509">
        <v>90.1</v>
      </c>
      <c r="D509" s="2">
        <v>0.41</v>
      </c>
      <c r="E509" s="3">
        <v>5E-15</v>
      </c>
      <c r="F509">
        <v>26.64</v>
      </c>
      <c r="G509" t="str">
        <f>HYPERLINK("https://www.ncbi.nlm.nih.gov/nucleotide/XM_003870891.1?report=genbank&amp;log$=nucltop&amp;blast_rank=97&amp;RID=1CU50H2V013","XM_003870891.1")</f>
        <v>XM_003870891.1</v>
      </c>
    </row>
    <row r="510" spans="1:7" x14ac:dyDescent="0.35">
      <c r="A510" t="s">
        <v>469</v>
      </c>
      <c r="B510">
        <v>89.7</v>
      </c>
      <c r="C510">
        <v>89.7</v>
      </c>
      <c r="D510" s="2">
        <v>0.41</v>
      </c>
      <c r="E510" s="3">
        <v>5E-15</v>
      </c>
      <c r="F510">
        <v>26.64</v>
      </c>
      <c r="G510" t="str">
        <f>HYPERLINK("https://www.ncbi.nlm.nih.gov/nucleotide/XM_036811872.1?report=genbank&amp;log$=nucltop&amp;blast_rank=98&amp;RID=1CU50H2V013","XM_036811872.1")</f>
        <v>XM_036811872.1</v>
      </c>
    </row>
    <row r="511" spans="1:7" x14ac:dyDescent="0.35">
      <c r="A511" t="s">
        <v>470</v>
      </c>
      <c r="B511">
        <v>90.1</v>
      </c>
      <c r="C511">
        <v>90.1</v>
      </c>
      <c r="D511" s="2">
        <v>0.41</v>
      </c>
      <c r="E511" s="3">
        <v>8.0000000000000006E-15</v>
      </c>
      <c r="F511">
        <v>26.64</v>
      </c>
      <c r="G511" t="str">
        <f>HYPERLINK("https://www.ncbi.nlm.nih.gov/nucleotide/HE605209.1?report=genbank&amp;log$=nucltop&amp;blast_rank=99&amp;RID=1CU50H2V013","HE605209.1")</f>
        <v>HE605209.1</v>
      </c>
    </row>
    <row r="512" spans="1:7" x14ac:dyDescent="0.35">
      <c r="A512" t="s">
        <v>471</v>
      </c>
      <c r="B512">
        <v>90.5</v>
      </c>
      <c r="C512">
        <v>90.5</v>
      </c>
      <c r="D512" s="2">
        <v>0.42</v>
      </c>
      <c r="E512" s="3">
        <v>5E-15</v>
      </c>
      <c r="F512">
        <v>26.61</v>
      </c>
      <c r="G512" t="str">
        <f>HYPERLINK("https://www.ncbi.nlm.nih.gov/nucleotide/HE681725.1?report=genbank&amp;log$=nucltop&amp;blast_rank=100&amp;RID=1CU50H2V013","HE681725.1")</f>
        <v>HE681725.1</v>
      </c>
    </row>
    <row r="513" spans="1:7" x14ac:dyDescent="0.35">
      <c r="A513" s="1" t="s">
        <v>472</v>
      </c>
    </row>
    <row r="514" spans="1:7" x14ac:dyDescent="0.35">
      <c r="A514" s="1" t="s">
        <v>2</v>
      </c>
      <c r="B514" s="1" t="s">
        <v>3</v>
      </c>
      <c r="C514" s="1" t="s">
        <v>4</v>
      </c>
      <c r="D514" s="1" t="s">
        <v>5</v>
      </c>
      <c r="E514" s="1" t="s">
        <v>6</v>
      </c>
      <c r="F514" s="1" t="s">
        <v>7</v>
      </c>
      <c r="G514" s="1" t="s">
        <v>8</v>
      </c>
    </row>
    <row r="515" spans="1:7" x14ac:dyDescent="0.35">
      <c r="A515" t="s">
        <v>37</v>
      </c>
      <c r="B515">
        <v>901</v>
      </c>
      <c r="C515">
        <v>992</v>
      </c>
      <c r="D515" s="2">
        <v>0.99</v>
      </c>
      <c r="E515">
        <v>0</v>
      </c>
      <c r="F515">
        <v>88.54</v>
      </c>
      <c r="G515" t="str">
        <f>HYPERLINK("https://www.ncbi.nlm.nih.gov/nucleotide/LR732085.1?report=genbank&amp;log$=nucltop&amp;blast_rank=1&amp;RID=1CU77E2H013","LR732085.1")</f>
        <v>LR732085.1</v>
      </c>
    </row>
    <row r="516" spans="1:7" x14ac:dyDescent="0.35">
      <c r="A516" t="s">
        <v>29</v>
      </c>
      <c r="B516">
        <v>400</v>
      </c>
      <c r="C516">
        <v>400</v>
      </c>
      <c r="D516" s="2">
        <v>0.72</v>
      </c>
      <c r="E516" s="3">
        <v>6.9999999999999995E-129</v>
      </c>
      <c r="F516">
        <v>49.3</v>
      </c>
      <c r="G516" t="str">
        <f>HYPERLINK("https://www.ncbi.nlm.nih.gov/nucleotide/XM_036779059.1?report=genbank&amp;log$=nucltop&amp;blast_rank=2&amp;RID=1CU77E2H013","XM_036779059.1")</f>
        <v>XM_036779059.1</v>
      </c>
    </row>
    <row r="517" spans="1:7" x14ac:dyDescent="0.35">
      <c r="A517" t="s">
        <v>24</v>
      </c>
      <c r="B517">
        <v>408</v>
      </c>
      <c r="C517">
        <v>408</v>
      </c>
      <c r="D517" s="2">
        <v>0.75</v>
      </c>
      <c r="E517" s="3">
        <v>5.9999999999999999E-132</v>
      </c>
      <c r="F517">
        <v>48.88</v>
      </c>
      <c r="G517" t="str">
        <f>HYPERLINK("https://www.ncbi.nlm.nih.gov/nucleotide/XM_037359093.1?report=genbank&amp;log$=nucltop&amp;blast_rank=3&amp;RID=1CU77E2H013","XM_037359093.1")</f>
        <v>XM_037359093.1</v>
      </c>
    </row>
    <row r="518" spans="1:7" x14ac:dyDescent="0.35">
      <c r="A518" t="s">
        <v>34</v>
      </c>
      <c r="B518">
        <v>421</v>
      </c>
      <c r="C518">
        <v>421</v>
      </c>
      <c r="D518" s="2">
        <v>0.81</v>
      </c>
      <c r="E518" s="3">
        <v>1E-136</v>
      </c>
      <c r="F518">
        <v>47.82</v>
      </c>
      <c r="G518" t="str">
        <f>HYPERLINK("https://www.ncbi.nlm.nih.gov/nucleotide/XM_001836368.2?report=genbank&amp;log$=nucltop&amp;blast_rank=4&amp;RID=1CU77E2H013","XM_001836368.2")</f>
        <v>XM_001836368.2</v>
      </c>
    </row>
    <row r="519" spans="1:7" x14ac:dyDescent="0.35">
      <c r="A519" t="s">
        <v>9</v>
      </c>
      <c r="B519">
        <v>146</v>
      </c>
      <c r="C519">
        <v>261</v>
      </c>
      <c r="D519" s="2">
        <v>0.51</v>
      </c>
      <c r="E519" s="3">
        <v>5E-53</v>
      </c>
      <c r="F519">
        <v>47.47</v>
      </c>
      <c r="G519" t="str">
        <f>HYPERLINK("https://www.ncbi.nlm.nih.gov/nucleotide/LR732079.1?report=genbank&amp;log$=nucltop&amp;blast_rank=5&amp;RID=1CU77E2H013","LR732079.1")</f>
        <v>LR732079.1</v>
      </c>
    </row>
    <row r="520" spans="1:7" x14ac:dyDescent="0.35">
      <c r="A520" t="s">
        <v>21</v>
      </c>
      <c r="B520">
        <v>374</v>
      </c>
      <c r="C520">
        <v>374</v>
      </c>
      <c r="D520" s="2">
        <v>0.73</v>
      </c>
      <c r="E520" s="3">
        <v>1E-117</v>
      </c>
      <c r="F520">
        <v>46.3</v>
      </c>
      <c r="G520" t="str">
        <f>HYPERLINK("https://www.ncbi.nlm.nih.gov/nucleotide/XM_009546985.1?report=genbank&amp;log$=nucltop&amp;blast_rank=6&amp;RID=1CU77E2H013","XM_009546985.1")</f>
        <v>XM_009546985.1</v>
      </c>
    </row>
    <row r="521" spans="1:7" x14ac:dyDescent="0.35">
      <c r="A521" t="s">
        <v>25</v>
      </c>
      <c r="B521">
        <v>383</v>
      </c>
      <c r="C521">
        <v>383</v>
      </c>
      <c r="D521" s="2">
        <v>0.73</v>
      </c>
      <c r="E521" s="3">
        <v>9.9999999999999998E-122</v>
      </c>
      <c r="F521">
        <v>46.3</v>
      </c>
      <c r="G521" t="str">
        <f>HYPERLINK("https://www.ncbi.nlm.nih.gov/nucleotide/XM_007330400.1?report=genbank&amp;log$=nucltop&amp;blast_rank=7&amp;RID=1CU77E2H013","XM_007330400.1")</f>
        <v>XM_007330400.1</v>
      </c>
    </row>
    <row r="522" spans="1:7" x14ac:dyDescent="0.35">
      <c r="A522" t="s">
        <v>26</v>
      </c>
      <c r="B522">
        <v>381</v>
      </c>
      <c r="C522">
        <v>381</v>
      </c>
      <c r="D522" s="2">
        <v>0.73</v>
      </c>
      <c r="E522" s="3">
        <v>4.9999999999999999E-121</v>
      </c>
      <c r="F522">
        <v>46.06</v>
      </c>
      <c r="G522" t="str">
        <f>HYPERLINK("https://www.ncbi.nlm.nih.gov/nucleotide/XM_006459162.1?report=genbank&amp;log$=nucltop&amp;blast_rank=8&amp;RID=1CU77E2H013","XM_006459162.1")</f>
        <v>XM_006459162.1</v>
      </c>
    </row>
    <row r="523" spans="1:7" x14ac:dyDescent="0.35">
      <c r="A523" t="s">
        <v>19</v>
      </c>
      <c r="B523">
        <v>392</v>
      </c>
      <c r="C523">
        <v>392</v>
      </c>
      <c r="D523" s="2">
        <v>0.81</v>
      </c>
      <c r="E523" s="3">
        <v>1E-125</v>
      </c>
      <c r="F523">
        <v>44.98</v>
      </c>
      <c r="G523" t="str">
        <f>HYPERLINK("https://www.ncbi.nlm.nih.gov/nucleotide/XM_001880890.1?report=genbank&amp;log$=nucltop&amp;blast_rank=9&amp;RID=1CU77E2H013","XM_001880890.1")</f>
        <v>XM_001880890.1</v>
      </c>
    </row>
    <row r="524" spans="1:7" x14ac:dyDescent="0.35">
      <c r="A524" t="s">
        <v>33</v>
      </c>
      <c r="B524">
        <v>387</v>
      </c>
      <c r="C524">
        <v>387</v>
      </c>
      <c r="D524" s="2">
        <v>0.81</v>
      </c>
      <c r="E524" s="3">
        <v>4.0000000000000002E-123</v>
      </c>
      <c r="F524">
        <v>44.31</v>
      </c>
      <c r="G524" t="str">
        <f>HYPERLINK("https://www.ncbi.nlm.nih.gov/nucleotide/XM_007300020.1?report=genbank&amp;log$=nucltop&amp;blast_rank=10&amp;RID=1CU77E2H013","XM_007300020.1")</f>
        <v>XM_007300020.1</v>
      </c>
    </row>
    <row r="525" spans="1:7" x14ac:dyDescent="0.35">
      <c r="A525" t="s">
        <v>32</v>
      </c>
      <c r="B525">
        <v>315</v>
      </c>
      <c r="C525">
        <v>315</v>
      </c>
      <c r="D525" s="2">
        <v>0.73</v>
      </c>
      <c r="E525" s="3">
        <v>9.999999999999999E-94</v>
      </c>
      <c r="F525">
        <v>40.270000000000003</v>
      </c>
      <c r="G525" t="str">
        <f>HYPERLINK("https://www.ncbi.nlm.nih.gov/nucleotide/XM_018429091.1?report=genbank&amp;log$=nucltop&amp;blast_rank=11&amp;RID=1CU77E2H013","XM_018429091.1")</f>
        <v>XM_018429091.1</v>
      </c>
    </row>
    <row r="526" spans="1:7" x14ac:dyDescent="0.35">
      <c r="A526" t="s">
        <v>16</v>
      </c>
      <c r="B526">
        <v>207</v>
      </c>
      <c r="C526">
        <v>662</v>
      </c>
      <c r="D526" s="2">
        <v>0.73</v>
      </c>
      <c r="E526" s="3">
        <v>4.9999999999999999E-61</v>
      </c>
      <c r="F526">
        <v>39.93</v>
      </c>
      <c r="G526" t="str">
        <f>HYPERLINK("https://www.ncbi.nlm.nih.gov/nucleotide/CP039877.1?report=genbank&amp;log$=nucltop&amp;blast_rank=12&amp;RID=1CU77E2H013","CP039877.1")</f>
        <v>CP039877.1</v>
      </c>
    </row>
    <row r="527" spans="1:7" x14ac:dyDescent="0.35">
      <c r="A527" t="s">
        <v>17</v>
      </c>
      <c r="B527">
        <v>207</v>
      </c>
      <c r="C527">
        <v>662</v>
      </c>
      <c r="D527" s="2">
        <v>0.73</v>
      </c>
      <c r="E527" s="3">
        <v>4.9999999999999999E-61</v>
      </c>
      <c r="F527">
        <v>39.93</v>
      </c>
      <c r="G527" t="str">
        <f>HYPERLINK("https://www.ncbi.nlm.nih.gov/nucleotide/CP015461.1?report=genbank&amp;log$=nucltop&amp;blast_rank=13&amp;RID=1CU77E2H013","CP015461.1")</f>
        <v>CP015461.1</v>
      </c>
    </row>
    <row r="528" spans="1:7" x14ac:dyDescent="0.35">
      <c r="A528" t="s">
        <v>18</v>
      </c>
      <c r="B528">
        <v>207</v>
      </c>
      <c r="C528">
        <v>662</v>
      </c>
      <c r="D528" s="2">
        <v>0.73</v>
      </c>
      <c r="E528" s="3">
        <v>4.9999999999999999E-61</v>
      </c>
      <c r="F528">
        <v>39.93</v>
      </c>
      <c r="G528" t="str">
        <f>HYPERLINK("https://www.ncbi.nlm.nih.gov/nucleotide/CP015474.1?report=genbank&amp;log$=nucltop&amp;blast_rank=14&amp;RID=1CU77E2H013","CP015474.1")</f>
        <v>CP015474.1</v>
      </c>
    </row>
    <row r="529" spans="1:7" x14ac:dyDescent="0.35">
      <c r="A529" t="s">
        <v>27</v>
      </c>
      <c r="B529">
        <v>160</v>
      </c>
      <c r="C529">
        <v>318</v>
      </c>
      <c r="D529" s="2">
        <v>0.77</v>
      </c>
      <c r="E529" s="3">
        <v>4.9999999999999998E-70</v>
      </c>
      <c r="F529">
        <v>39.659999999999997</v>
      </c>
      <c r="G529" t="str">
        <f>HYPERLINK("https://www.ncbi.nlm.nih.gov/nucleotide/CP031830.1?report=genbank&amp;log$=nucltop&amp;blast_rank=15&amp;RID=1CU77E2H013","CP031830.1")</f>
        <v>CP031830.1</v>
      </c>
    </row>
    <row r="530" spans="1:7" x14ac:dyDescent="0.35">
      <c r="A530" t="s">
        <v>28</v>
      </c>
      <c r="B530">
        <v>160</v>
      </c>
      <c r="C530">
        <v>318</v>
      </c>
      <c r="D530" s="2">
        <v>0.77</v>
      </c>
      <c r="E530" s="3">
        <v>4.9999999999999998E-70</v>
      </c>
      <c r="F530">
        <v>39.659999999999997</v>
      </c>
      <c r="G530" t="str">
        <f>HYPERLINK("https://www.ncbi.nlm.nih.gov/nucleotide/LK023335.1?report=genbank&amp;log$=nucltop&amp;blast_rank=16&amp;RID=1CU77E2H013","LK023335.1")</f>
        <v>LK023335.1</v>
      </c>
    </row>
    <row r="531" spans="1:7" x14ac:dyDescent="0.35">
      <c r="A531" t="s">
        <v>473</v>
      </c>
      <c r="B531">
        <v>203</v>
      </c>
      <c r="C531">
        <v>604</v>
      </c>
      <c r="D531" s="2">
        <v>0.73</v>
      </c>
      <c r="E531" s="3">
        <v>1E-51</v>
      </c>
      <c r="F531">
        <v>39.35</v>
      </c>
      <c r="G531" t="str">
        <f>HYPERLINK("https://www.ncbi.nlm.nih.gov/nucleotide/CP068007.1?report=genbank&amp;log$=nucltop&amp;blast_rank=17&amp;RID=1CU77E2H013","CP068007.1")</f>
        <v>CP068007.1</v>
      </c>
    </row>
    <row r="532" spans="1:7" x14ac:dyDescent="0.35">
      <c r="A532" t="s">
        <v>35</v>
      </c>
      <c r="B532">
        <v>305</v>
      </c>
      <c r="C532">
        <v>305</v>
      </c>
      <c r="D532" s="2">
        <v>0.75</v>
      </c>
      <c r="E532" s="3">
        <v>7.9999999999999999E-92</v>
      </c>
      <c r="F532">
        <v>38.75</v>
      </c>
      <c r="G532" t="str">
        <f>HYPERLINK("https://www.ncbi.nlm.nih.gov/nucleotide/XM_023610462.1?report=genbank&amp;log$=nucltop&amp;blast_rank=18&amp;RID=1CU77E2H013","XM_023610462.1")</f>
        <v>XM_023610462.1</v>
      </c>
    </row>
    <row r="533" spans="1:7" x14ac:dyDescent="0.35">
      <c r="A533" t="s">
        <v>19</v>
      </c>
      <c r="B533">
        <v>291</v>
      </c>
      <c r="C533">
        <v>291</v>
      </c>
      <c r="D533" s="2">
        <v>0.75</v>
      </c>
      <c r="E533" s="3">
        <v>2.0000000000000002E-86</v>
      </c>
      <c r="F533">
        <v>38.61</v>
      </c>
      <c r="G533" t="str">
        <f>HYPERLINK("https://www.ncbi.nlm.nih.gov/nucleotide/XM_001880889.1?report=genbank&amp;log$=nucltop&amp;blast_rank=19&amp;RID=1CU77E2H013","XM_001880889.1")</f>
        <v>XM_001880889.1</v>
      </c>
    </row>
    <row r="534" spans="1:7" x14ac:dyDescent="0.35">
      <c r="A534" s="4" t="s">
        <v>11</v>
      </c>
      <c r="B534" s="4">
        <v>304</v>
      </c>
      <c r="C534" s="4">
        <v>304</v>
      </c>
      <c r="D534" s="5">
        <v>0.82</v>
      </c>
      <c r="E534" s="6">
        <v>2E-91</v>
      </c>
      <c r="F534" s="4">
        <v>37.869999999999997</v>
      </c>
      <c r="G534" s="4" t="str">
        <f>HYPERLINK("https://www.ncbi.nlm.nih.gov/nucleotide/AB551982.1?report=genbank&amp;log$=nucltop&amp;blast_rank=20&amp;RID=1CU77E2H013","AB551982.1")</f>
        <v>AB551982.1</v>
      </c>
    </row>
    <row r="535" spans="1:7" x14ac:dyDescent="0.35">
      <c r="A535" t="s">
        <v>12</v>
      </c>
      <c r="B535">
        <v>274</v>
      </c>
      <c r="C535">
        <v>274</v>
      </c>
      <c r="D535" s="2">
        <v>0.75</v>
      </c>
      <c r="E535" s="3">
        <v>9.9999999999999996E-81</v>
      </c>
      <c r="F535">
        <v>37.5</v>
      </c>
      <c r="G535" t="str">
        <f>HYPERLINK("https://www.ncbi.nlm.nih.gov/nucleotide/XM_036779060.1?report=genbank&amp;log$=nucltop&amp;blast_rank=21&amp;RID=1CU77E2H013","XM_036779060.1")</f>
        <v>XM_036779060.1</v>
      </c>
    </row>
    <row r="536" spans="1:7" x14ac:dyDescent="0.35">
      <c r="A536" t="s">
        <v>21</v>
      </c>
      <c r="B536">
        <v>269</v>
      </c>
      <c r="C536">
        <v>269</v>
      </c>
      <c r="D536" s="2">
        <v>0.73</v>
      </c>
      <c r="E536" s="3">
        <v>1.9999999999999999E-77</v>
      </c>
      <c r="F536">
        <v>37.270000000000003</v>
      </c>
      <c r="G536" t="str">
        <f>HYPERLINK("https://www.ncbi.nlm.nih.gov/nucleotide/XM_009546986.1?report=genbank&amp;log$=nucltop&amp;blast_rank=22&amp;RID=1CU77E2H013","XM_009546986.1")</f>
        <v>XM_009546986.1</v>
      </c>
    </row>
    <row r="537" spans="1:7" x14ac:dyDescent="0.35">
      <c r="A537" t="s">
        <v>14</v>
      </c>
      <c r="B537">
        <v>293</v>
      </c>
      <c r="C537">
        <v>293</v>
      </c>
      <c r="D537" s="2">
        <v>0.8</v>
      </c>
      <c r="E537" s="3">
        <v>8.0000000000000001E-87</v>
      </c>
      <c r="F537">
        <v>37.1</v>
      </c>
      <c r="G537" t="str">
        <f>HYPERLINK("https://www.ncbi.nlm.nih.gov/nucleotide/XM_007330301.1?report=genbank&amp;log$=nucltop&amp;blast_rank=23&amp;RID=1CU77E2H013","XM_007330301.1")</f>
        <v>XM_007330301.1</v>
      </c>
    </row>
    <row r="538" spans="1:7" x14ac:dyDescent="0.35">
      <c r="A538" t="s">
        <v>15</v>
      </c>
      <c r="B538">
        <v>290</v>
      </c>
      <c r="C538">
        <v>290</v>
      </c>
      <c r="D538" s="2">
        <v>0.8</v>
      </c>
      <c r="E538" s="3">
        <v>7.0000000000000004E-86</v>
      </c>
      <c r="F538">
        <v>37.1</v>
      </c>
      <c r="G538" t="str">
        <f>HYPERLINK("https://www.ncbi.nlm.nih.gov/nucleotide/XM_006459161.1?report=genbank&amp;log$=nucltop&amp;blast_rank=24&amp;RID=1CU77E2H013","XM_006459161.1")</f>
        <v>XM_006459161.1</v>
      </c>
    </row>
    <row r="539" spans="1:7" x14ac:dyDescent="0.35">
      <c r="A539" t="s">
        <v>39</v>
      </c>
      <c r="B539">
        <v>281</v>
      </c>
      <c r="C539">
        <v>281</v>
      </c>
      <c r="D539" s="2">
        <v>0.73</v>
      </c>
      <c r="E539" s="3">
        <v>8.9999999999999999E-83</v>
      </c>
      <c r="F539">
        <v>36.56</v>
      </c>
      <c r="G539" t="str">
        <f>HYPERLINK("https://www.ncbi.nlm.nih.gov/nucleotide/XM_025316703.1?report=genbank&amp;log$=nucltop&amp;blast_rank=25&amp;RID=1CU77E2H013","XM_025316703.1")</f>
        <v>XM_025316703.1</v>
      </c>
    </row>
    <row r="540" spans="1:7" x14ac:dyDescent="0.35">
      <c r="A540" t="s">
        <v>30</v>
      </c>
      <c r="B540">
        <v>144</v>
      </c>
      <c r="C540">
        <v>316</v>
      </c>
      <c r="D540" s="2">
        <v>0.71</v>
      </c>
      <c r="E540" s="3">
        <v>5E-36</v>
      </c>
      <c r="F540">
        <v>36.549999999999997</v>
      </c>
      <c r="G540" t="str">
        <f>HYPERLINK("https://www.ncbi.nlm.nih.gov/nucleotide/CP031825.1?report=genbank&amp;log$=nucltop&amp;blast_rank=26&amp;RID=1CU77E2H013","CP031825.1")</f>
        <v>CP031825.1</v>
      </c>
    </row>
    <row r="541" spans="1:7" x14ac:dyDescent="0.35">
      <c r="A541" t="s">
        <v>31</v>
      </c>
      <c r="B541">
        <v>144</v>
      </c>
      <c r="C541">
        <v>316</v>
      </c>
      <c r="D541" s="2">
        <v>0.71</v>
      </c>
      <c r="E541" s="3">
        <v>5E-36</v>
      </c>
      <c r="F541">
        <v>36.549999999999997</v>
      </c>
      <c r="G541" t="str">
        <f>HYPERLINK("https://www.ncbi.nlm.nih.gov/nucleotide/LK023313.1?report=genbank&amp;log$=nucltop&amp;blast_rank=27&amp;RID=1CU77E2H013","LK023313.1")</f>
        <v>LK023313.1</v>
      </c>
    </row>
    <row r="542" spans="1:7" x14ac:dyDescent="0.35">
      <c r="A542" t="s">
        <v>22</v>
      </c>
      <c r="B542">
        <v>233</v>
      </c>
      <c r="C542">
        <v>233</v>
      </c>
      <c r="D542" s="2">
        <v>0.7</v>
      </c>
      <c r="E542" s="3">
        <v>9.9999999999999992E-66</v>
      </c>
      <c r="F542">
        <v>36.36</v>
      </c>
      <c r="G542" t="str">
        <f>HYPERLINK("https://www.ncbi.nlm.nih.gov/nucleotide/XM_001836369.2?report=genbank&amp;log$=nucltop&amp;blast_rank=28&amp;RID=1CU77E2H013","XM_001836369.2")</f>
        <v>XM_001836369.2</v>
      </c>
    </row>
    <row r="543" spans="1:7" x14ac:dyDescent="0.35">
      <c r="A543" s="4" t="s">
        <v>13</v>
      </c>
      <c r="B543" s="4">
        <v>275</v>
      </c>
      <c r="C543" s="4">
        <v>275</v>
      </c>
      <c r="D543" s="5">
        <v>0.81</v>
      </c>
      <c r="E543" s="6">
        <v>3.9999999999999998E-80</v>
      </c>
      <c r="F543" s="4">
        <v>34.61</v>
      </c>
      <c r="G543" s="4" t="str">
        <f>HYPERLINK("https://www.ncbi.nlm.nih.gov/nucleotide/XM_037359092.1?report=genbank&amp;log$=nucltop&amp;blast_rank=29&amp;RID=1CU77E2H013","XM_037359092.1")</f>
        <v>XM_037359092.1</v>
      </c>
    </row>
    <row r="544" spans="1:7" x14ac:dyDescent="0.35">
      <c r="A544" s="4" t="s">
        <v>41</v>
      </c>
      <c r="B544" s="4">
        <v>202</v>
      </c>
      <c r="C544" s="4">
        <v>202</v>
      </c>
      <c r="D544" s="5">
        <v>0.73</v>
      </c>
      <c r="E544" s="6">
        <v>1E-53</v>
      </c>
      <c r="F544" s="4">
        <v>34.340000000000003</v>
      </c>
      <c r="G544" s="4" t="str">
        <f>HYPERLINK("https://www.ncbi.nlm.nih.gov/nucleotide/XM_032045412.1?report=genbank&amp;log$=nucltop&amp;blast_rank=30&amp;RID=1CU77E2H013","XM_032045412.1")</f>
        <v>XM_032045412.1</v>
      </c>
    </row>
    <row r="545" spans="1:7" x14ac:dyDescent="0.35">
      <c r="A545" s="4" t="s">
        <v>20</v>
      </c>
      <c r="B545" s="4">
        <v>149</v>
      </c>
      <c r="C545" s="4">
        <v>300</v>
      </c>
      <c r="D545" s="5">
        <v>0.74</v>
      </c>
      <c r="E545" s="6">
        <v>1.9999999999999999E-64</v>
      </c>
      <c r="F545" s="4">
        <v>34.26</v>
      </c>
      <c r="G545" s="4" t="str">
        <f>HYPERLINK("https://www.ncbi.nlm.nih.gov/nucleotide/KJ999702.1?report=genbank&amp;log$=nucltop&amp;blast_rank=31&amp;RID=1CU77E2H013","KJ999702.1")</f>
        <v>KJ999702.1</v>
      </c>
    </row>
    <row r="546" spans="1:7" x14ac:dyDescent="0.35">
      <c r="A546" t="s">
        <v>23</v>
      </c>
      <c r="B546">
        <v>228</v>
      </c>
      <c r="C546">
        <v>228</v>
      </c>
      <c r="D546" s="2">
        <v>0.73</v>
      </c>
      <c r="E546" s="3">
        <v>1E-61</v>
      </c>
      <c r="F546">
        <v>33.549999999999997</v>
      </c>
      <c r="G546" t="str">
        <f>HYPERLINK("https://www.ncbi.nlm.nih.gov/nucleotide/XM_007300021.1?report=genbank&amp;log$=nucltop&amp;blast_rank=32&amp;RID=1CU77E2H013","XM_007300021.1")</f>
        <v>XM_007300021.1</v>
      </c>
    </row>
    <row r="547" spans="1:7" x14ac:dyDescent="0.35">
      <c r="A547" t="s">
        <v>61</v>
      </c>
      <c r="B547">
        <v>179</v>
      </c>
      <c r="C547">
        <v>179</v>
      </c>
      <c r="D547" s="2">
        <v>0.7</v>
      </c>
      <c r="E547" s="3">
        <v>3.0000000000000001E-45</v>
      </c>
      <c r="F547">
        <v>33.17</v>
      </c>
      <c r="G547" t="str">
        <f>HYPERLINK("https://www.ncbi.nlm.nih.gov/nucleotide/XM_024831712.1?report=genbank&amp;log$=nucltop&amp;blast_rank=33&amp;RID=1CU77E2H013","XM_024831712.1")</f>
        <v>XM_024831712.1</v>
      </c>
    </row>
    <row r="548" spans="1:7" x14ac:dyDescent="0.35">
      <c r="A548" t="s">
        <v>48</v>
      </c>
      <c r="B548">
        <v>182</v>
      </c>
      <c r="C548">
        <v>182</v>
      </c>
      <c r="D548" s="2">
        <v>0.69</v>
      </c>
      <c r="E548" s="3">
        <v>2E-45</v>
      </c>
      <c r="F548">
        <v>32.869999999999997</v>
      </c>
      <c r="G548" t="str">
        <f>HYPERLINK("https://www.ncbi.nlm.nih.gov/nucleotide/XM_009499650.1?report=genbank&amp;log$=nucltop&amp;blast_rank=34&amp;RID=1CU77E2H013","XM_009499650.1")</f>
        <v>XM_009499650.1</v>
      </c>
    </row>
    <row r="549" spans="1:7" x14ac:dyDescent="0.35">
      <c r="A549" t="s">
        <v>69</v>
      </c>
      <c r="B549">
        <v>201</v>
      </c>
      <c r="C549">
        <v>201</v>
      </c>
      <c r="D549" s="2">
        <v>0.72</v>
      </c>
      <c r="E549" s="3">
        <v>4.0000000000000001E-53</v>
      </c>
      <c r="F549">
        <v>32.71</v>
      </c>
      <c r="G549" t="str">
        <f>HYPERLINK("https://www.ncbi.nlm.nih.gov/nucleotide/XM_001390712.2?report=genbank&amp;log$=nucltop&amp;blast_rank=35&amp;RID=1CU77E2H013","XM_001390712.2")</f>
        <v>XM_001390712.2</v>
      </c>
    </row>
    <row r="550" spans="1:7" x14ac:dyDescent="0.35">
      <c r="A550" s="4" t="s">
        <v>65</v>
      </c>
      <c r="B550" s="4">
        <v>197</v>
      </c>
      <c r="C550" s="4">
        <v>197</v>
      </c>
      <c r="D550" s="5">
        <v>0.72</v>
      </c>
      <c r="E550" s="6">
        <v>1E-51</v>
      </c>
      <c r="F550" s="4">
        <v>32.71</v>
      </c>
      <c r="G550" s="4" t="str">
        <f>HYPERLINK("https://www.ncbi.nlm.nih.gov/nucleotide/XM_026774556.1?report=genbank&amp;log$=nucltop&amp;blast_rank=36&amp;RID=1CU77E2H013","XM_026774556.1")</f>
        <v>XM_026774556.1</v>
      </c>
    </row>
    <row r="551" spans="1:7" x14ac:dyDescent="0.35">
      <c r="A551" t="s">
        <v>51</v>
      </c>
      <c r="B551">
        <v>195</v>
      </c>
      <c r="C551">
        <v>195</v>
      </c>
      <c r="D551" s="2">
        <v>0.73</v>
      </c>
      <c r="E551" s="3">
        <v>4E-51</v>
      </c>
      <c r="F551">
        <v>32.33</v>
      </c>
      <c r="G551" t="str">
        <f>HYPERLINK("https://www.ncbi.nlm.nih.gov/nucleotide/XM_025528552.1?report=genbank&amp;log$=nucltop&amp;blast_rank=37&amp;RID=1CU77E2H013","XM_025528552.1")</f>
        <v>XM_025528552.1</v>
      </c>
    </row>
    <row r="552" spans="1:7" x14ac:dyDescent="0.35">
      <c r="A552" t="s">
        <v>53</v>
      </c>
      <c r="B552">
        <v>199</v>
      </c>
      <c r="C552">
        <v>199</v>
      </c>
      <c r="D552" s="2">
        <v>0.72</v>
      </c>
      <c r="E552" s="3">
        <v>6E-52</v>
      </c>
      <c r="F552">
        <v>32</v>
      </c>
      <c r="G552" t="str">
        <f>HYPERLINK("https://www.ncbi.nlm.nih.gov/nucleotide/XM_025704096.1?report=genbank&amp;log$=nucltop&amp;blast_rank=38&amp;RID=1CU77E2H013","XM_025704096.1")</f>
        <v>XM_025704096.1</v>
      </c>
    </row>
    <row r="553" spans="1:7" x14ac:dyDescent="0.35">
      <c r="A553" t="s">
        <v>44</v>
      </c>
      <c r="B553">
        <v>166</v>
      </c>
      <c r="C553">
        <v>166</v>
      </c>
      <c r="D553" s="2">
        <v>0.64</v>
      </c>
      <c r="E553" s="3">
        <v>2E-41</v>
      </c>
      <c r="F553">
        <v>31.48</v>
      </c>
      <c r="G553" t="str">
        <f>HYPERLINK("https://www.ncbi.nlm.nih.gov/nucleotide/XM_033572072.1?report=genbank&amp;log$=nucltop&amp;blast_rank=39&amp;RID=1CU77E2H013","XM_033572072.1")</f>
        <v>XM_033572072.1</v>
      </c>
    </row>
    <row r="554" spans="1:7" x14ac:dyDescent="0.35">
      <c r="A554" t="s">
        <v>76</v>
      </c>
      <c r="B554">
        <v>181</v>
      </c>
      <c r="C554">
        <v>181</v>
      </c>
      <c r="D554" s="2">
        <v>0.69</v>
      </c>
      <c r="E554" s="3">
        <v>9E-46</v>
      </c>
      <c r="F554">
        <v>31.33</v>
      </c>
      <c r="G554" t="str">
        <f>HYPERLINK("https://www.ncbi.nlm.nih.gov/nucleotide/XM_026762387.1?report=genbank&amp;log$=nucltop&amp;blast_rank=40&amp;RID=1CU77E2H013","XM_026762387.1")</f>
        <v>XM_026762387.1</v>
      </c>
    </row>
    <row r="555" spans="1:7" x14ac:dyDescent="0.35">
      <c r="A555" t="s">
        <v>54</v>
      </c>
      <c r="B555">
        <v>157</v>
      </c>
      <c r="C555">
        <v>157</v>
      </c>
      <c r="D555" s="2">
        <v>0.64</v>
      </c>
      <c r="E555" s="3">
        <v>1.9999999999999999E-36</v>
      </c>
      <c r="F555">
        <v>31.13</v>
      </c>
      <c r="G555" t="str">
        <f>HYPERLINK("https://www.ncbi.nlm.nih.gov/nucleotide/LT853692.1?report=genbank&amp;log$=nucltop&amp;blast_rank=41&amp;RID=1CU77E2H013","LT853692.1")</f>
        <v>LT853692.1</v>
      </c>
    </row>
    <row r="556" spans="1:7" x14ac:dyDescent="0.35">
      <c r="A556" t="s">
        <v>52</v>
      </c>
      <c r="B556">
        <v>141</v>
      </c>
      <c r="C556">
        <v>141</v>
      </c>
      <c r="D556" s="2">
        <v>0.59</v>
      </c>
      <c r="E556" s="3">
        <v>2.0000000000000001E-33</v>
      </c>
      <c r="F556">
        <v>30.99</v>
      </c>
      <c r="G556" t="str">
        <f>HYPERLINK("https://www.ncbi.nlm.nih.gov/nucleotide/XM_003857413.1?report=genbank&amp;log$=nucltop&amp;blast_rank=42&amp;RID=1CU77E2H013","XM_003857413.1")</f>
        <v>XM_003857413.1</v>
      </c>
    </row>
    <row r="557" spans="1:7" x14ac:dyDescent="0.35">
      <c r="A557" t="s">
        <v>474</v>
      </c>
      <c r="B557">
        <v>87.8</v>
      </c>
      <c r="C557">
        <v>168</v>
      </c>
      <c r="D557" s="2">
        <v>0.67</v>
      </c>
      <c r="E557" s="3">
        <v>2.0000000000000002E-31</v>
      </c>
      <c r="F557">
        <v>30.93</v>
      </c>
      <c r="G557" t="str">
        <f>HYPERLINK("https://www.ncbi.nlm.nih.gov/nucleotide/CP061806.1?report=genbank&amp;log$=nucltop&amp;blast_rank=43&amp;RID=1CU77E2H013","CP061806.1")</f>
        <v>CP061806.1</v>
      </c>
    </row>
    <row r="558" spans="1:7" x14ac:dyDescent="0.35">
      <c r="A558" t="s">
        <v>475</v>
      </c>
      <c r="B558">
        <v>87.8</v>
      </c>
      <c r="C558">
        <v>168</v>
      </c>
      <c r="D558" s="2">
        <v>0.67</v>
      </c>
      <c r="E558" s="3">
        <v>2.0000000000000002E-31</v>
      </c>
      <c r="F558">
        <v>30.93</v>
      </c>
      <c r="G558" t="str">
        <f>HYPERLINK("https://www.ncbi.nlm.nih.gov/nucleotide/CP051037.1?report=genbank&amp;log$=nucltop&amp;blast_rank=44&amp;RID=1CU77E2H013","CP051037.1")</f>
        <v>CP051037.1</v>
      </c>
    </row>
    <row r="559" spans="1:7" x14ac:dyDescent="0.35">
      <c r="A559" t="s">
        <v>476</v>
      </c>
      <c r="B559">
        <v>87.8</v>
      </c>
      <c r="C559">
        <v>168</v>
      </c>
      <c r="D559" s="2">
        <v>0.67</v>
      </c>
      <c r="E559" s="3">
        <v>2.0000000000000002E-31</v>
      </c>
      <c r="F559">
        <v>30.93</v>
      </c>
      <c r="G559" t="str">
        <f>HYPERLINK("https://www.ncbi.nlm.nih.gov/nucleotide/CP051029.1?report=genbank&amp;log$=nucltop&amp;blast_rank=45&amp;RID=1CU77E2H013","CP051029.1")</f>
        <v>CP051029.1</v>
      </c>
    </row>
    <row r="560" spans="1:7" x14ac:dyDescent="0.35">
      <c r="A560" t="s">
        <v>477</v>
      </c>
      <c r="B560">
        <v>87.8</v>
      </c>
      <c r="C560">
        <v>168</v>
      </c>
      <c r="D560" s="2">
        <v>0.67</v>
      </c>
      <c r="E560" s="3">
        <v>2.0000000000000002E-31</v>
      </c>
      <c r="F560">
        <v>30.93</v>
      </c>
      <c r="G560" t="str">
        <f>HYPERLINK("https://www.ncbi.nlm.nih.gov/nucleotide/CP044620.1?report=genbank&amp;log$=nucltop&amp;blast_rank=46&amp;RID=1CU77E2H013","CP044620.1")</f>
        <v>CP044620.1</v>
      </c>
    </row>
    <row r="561" spans="1:7" x14ac:dyDescent="0.35">
      <c r="A561" t="s">
        <v>478</v>
      </c>
      <c r="B561">
        <v>87.8</v>
      </c>
      <c r="C561">
        <v>168</v>
      </c>
      <c r="D561" s="2">
        <v>0.67</v>
      </c>
      <c r="E561" s="3">
        <v>2.0000000000000002E-31</v>
      </c>
      <c r="F561">
        <v>30.93</v>
      </c>
      <c r="G561" t="str">
        <f>HYPERLINK("https://www.ncbi.nlm.nih.gov/nucleotide/CP059868.1?report=genbank&amp;log$=nucltop&amp;blast_rank=47&amp;RID=1CU77E2H013","CP059868.1")</f>
        <v>CP059868.1</v>
      </c>
    </row>
    <row r="562" spans="1:7" x14ac:dyDescent="0.35">
      <c r="A562" t="s">
        <v>479</v>
      </c>
      <c r="B562">
        <v>87.8</v>
      </c>
      <c r="C562">
        <v>168</v>
      </c>
      <c r="D562" s="2">
        <v>0.67</v>
      </c>
      <c r="E562" s="3">
        <v>2.0000000000000002E-31</v>
      </c>
      <c r="F562">
        <v>30.93</v>
      </c>
      <c r="G562" t="str">
        <f>HYPERLINK("https://www.ncbi.nlm.nih.gov/nucleotide/CP051053.1?report=genbank&amp;log$=nucltop&amp;blast_rank=48&amp;RID=1CU77E2H013","CP051053.1")</f>
        <v>CP051053.1</v>
      </c>
    </row>
    <row r="563" spans="1:7" x14ac:dyDescent="0.35">
      <c r="A563" t="s">
        <v>480</v>
      </c>
      <c r="B563">
        <v>87.8</v>
      </c>
      <c r="C563">
        <v>168</v>
      </c>
      <c r="D563" s="2">
        <v>0.67</v>
      </c>
      <c r="E563" s="3">
        <v>2.0000000000000002E-31</v>
      </c>
      <c r="F563">
        <v>30.93</v>
      </c>
      <c r="G563" t="str">
        <f>HYPERLINK("https://www.ncbi.nlm.nih.gov/nucleotide/CP059860.1?report=genbank&amp;log$=nucltop&amp;blast_rank=49&amp;RID=1CU77E2H013","CP059860.1")</f>
        <v>CP059860.1</v>
      </c>
    </row>
    <row r="564" spans="1:7" x14ac:dyDescent="0.35">
      <c r="A564" t="s">
        <v>481</v>
      </c>
      <c r="B564">
        <v>87.8</v>
      </c>
      <c r="C564">
        <v>168</v>
      </c>
      <c r="D564" s="2">
        <v>0.67</v>
      </c>
      <c r="E564" s="3">
        <v>2.0000000000000002E-31</v>
      </c>
      <c r="F564">
        <v>30.93</v>
      </c>
      <c r="G564" t="str">
        <f>HYPERLINK("https://www.ncbi.nlm.nih.gov/nucleotide/CP051045.1?report=genbank&amp;log$=nucltop&amp;blast_rank=50&amp;RID=1CU77E2H013","CP051045.1")</f>
        <v>CP051045.1</v>
      </c>
    </row>
    <row r="565" spans="1:7" x14ac:dyDescent="0.35">
      <c r="A565" t="s">
        <v>482</v>
      </c>
      <c r="B565">
        <v>87.4</v>
      </c>
      <c r="C565">
        <v>167</v>
      </c>
      <c r="D565" s="2">
        <v>0.67</v>
      </c>
      <c r="E565" s="3">
        <v>2.9999999999999998E-31</v>
      </c>
      <c r="F565">
        <v>30.93</v>
      </c>
      <c r="G565" t="str">
        <f>HYPERLINK("https://www.ncbi.nlm.nih.gov/nucleotide/CP051069.1?report=genbank&amp;log$=nucltop&amp;blast_rank=51&amp;RID=1CU77E2H013","CP051069.1")</f>
        <v>CP051069.1</v>
      </c>
    </row>
    <row r="566" spans="1:7" x14ac:dyDescent="0.35">
      <c r="A566" t="s">
        <v>483</v>
      </c>
      <c r="B566">
        <v>87.8</v>
      </c>
      <c r="C566">
        <v>167</v>
      </c>
      <c r="D566" s="2">
        <v>0.67</v>
      </c>
      <c r="E566" s="3">
        <v>2.9999999999999998E-31</v>
      </c>
      <c r="F566">
        <v>30.93</v>
      </c>
      <c r="G566" t="str">
        <f>HYPERLINK("https://www.ncbi.nlm.nih.gov/nucleotide/CP047251.1?report=genbank&amp;log$=nucltop&amp;blast_rank=52&amp;RID=1CU77E2H013","CP047251.1")</f>
        <v>CP047251.1</v>
      </c>
    </row>
    <row r="567" spans="1:7" x14ac:dyDescent="0.35">
      <c r="A567" t="s">
        <v>484</v>
      </c>
      <c r="B567">
        <v>87.8</v>
      </c>
      <c r="C567">
        <v>167</v>
      </c>
      <c r="D567" s="2">
        <v>0.67</v>
      </c>
      <c r="E567" s="3">
        <v>2.9999999999999998E-31</v>
      </c>
      <c r="F567">
        <v>30.93</v>
      </c>
      <c r="G567" t="str">
        <f>HYPERLINK("https://www.ncbi.nlm.nih.gov/nucleotide/AP007157.1?report=genbank&amp;log$=nucltop&amp;blast_rank=53&amp;RID=1CU77E2H013","AP007157.1")</f>
        <v>AP007157.1</v>
      </c>
    </row>
    <row r="568" spans="1:7" x14ac:dyDescent="0.35">
      <c r="A568" t="s">
        <v>485</v>
      </c>
      <c r="B568">
        <v>87.8</v>
      </c>
      <c r="C568">
        <v>167</v>
      </c>
      <c r="D568" s="2">
        <v>0.67</v>
      </c>
      <c r="E568" s="3">
        <v>4.0000000000000003E-31</v>
      </c>
      <c r="F568">
        <v>30.93</v>
      </c>
      <c r="G568" t="str">
        <f>HYPERLINK("https://www.ncbi.nlm.nih.gov/nucleotide/CP051085.1?report=genbank&amp;log$=nucltop&amp;blast_rank=54&amp;RID=1CU77E2H013","CP051085.1")</f>
        <v>CP051085.1</v>
      </c>
    </row>
    <row r="569" spans="1:7" x14ac:dyDescent="0.35">
      <c r="A569" t="s">
        <v>486</v>
      </c>
      <c r="B569">
        <v>87.8</v>
      </c>
      <c r="C569">
        <v>167</v>
      </c>
      <c r="D569" s="2">
        <v>0.67</v>
      </c>
      <c r="E569" s="3">
        <v>4.0000000000000003E-31</v>
      </c>
      <c r="F569">
        <v>30.93</v>
      </c>
      <c r="G569" t="str">
        <f>HYPERLINK("https://www.ncbi.nlm.nih.gov/nucleotide/CP051061.1?report=genbank&amp;log$=nucltop&amp;blast_rank=55&amp;RID=1CU77E2H013","CP051061.1")</f>
        <v>CP051061.1</v>
      </c>
    </row>
    <row r="570" spans="1:7" x14ac:dyDescent="0.35">
      <c r="A570" t="s">
        <v>487</v>
      </c>
      <c r="B570">
        <v>87.8</v>
      </c>
      <c r="C570">
        <v>167</v>
      </c>
      <c r="D570" s="2">
        <v>0.67</v>
      </c>
      <c r="E570" s="3">
        <v>4.0000000000000003E-31</v>
      </c>
      <c r="F570">
        <v>30.93</v>
      </c>
      <c r="G570" t="str">
        <f>HYPERLINK("https://www.ncbi.nlm.nih.gov/nucleotide/CP051093.1?report=genbank&amp;log$=nucltop&amp;blast_rank=56&amp;RID=1CU77E2H013","CP051093.1")</f>
        <v>CP051093.1</v>
      </c>
    </row>
    <row r="571" spans="1:7" x14ac:dyDescent="0.35">
      <c r="A571" t="s">
        <v>488</v>
      </c>
      <c r="B571">
        <v>87.8</v>
      </c>
      <c r="C571">
        <v>167</v>
      </c>
      <c r="D571" s="2">
        <v>0.67</v>
      </c>
      <c r="E571" s="3">
        <v>4.0000000000000003E-31</v>
      </c>
      <c r="F571">
        <v>30.93</v>
      </c>
      <c r="G571" t="str">
        <f>HYPERLINK("https://www.ncbi.nlm.nih.gov/nucleotide/CP051021.1?report=genbank&amp;log$=nucltop&amp;blast_rank=57&amp;RID=1CU77E2H013","CP051021.1")</f>
        <v>CP051021.1</v>
      </c>
    </row>
    <row r="572" spans="1:7" x14ac:dyDescent="0.35">
      <c r="A572" t="s">
        <v>489</v>
      </c>
      <c r="B572">
        <v>87.4</v>
      </c>
      <c r="C572">
        <v>167</v>
      </c>
      <c r="D572" s="2">
        <v>0.67</v>
      </c>
      <c r="E572" s="3">
        <v>4.0000000000000003E-31</v>
      </c>
      <c r="F572">
        <v>30.93</v>
      </c>
      <c r="G572" t="str">
        <f>HYPERLINK("https://www.ncbi.nlm.nih.gov/nucleotide/CP051077.1?report=genbank&amp;log$=nucltop&amp;blast_rank=58&amp;RID=1CU77E2H013","CP051077.1")</f>
        <v>CP051077.1</v>
      </c>
    </row>
    <row r="573" spans="1:7" x14ac:dyDescent="0.35">
      <c r="A573" t="s">
        <v>57</v>
      </c>
      <c r="B573">
        <v>155</v>
      </c>
      <c r="C573">
        <v>155</v>
      </c>
      <c r="D573" s="2">
        <v>0.64</v>
      </c>
      <c r="E573" s="3">
        <v>9.0000000000000005E-36</v>
      </c>
      <c r="F573">
        <v>30.87</v>
      </c>
      <c r="G573" t="str">
        <f>HYPERLINK("https://www.ncbi.nlm.nih.gov/nucleotide/LT854253.1?report=genbank&amp;log$=nucltop&amp;blast_rank=59&amp;RID=1CU77E2H013","LT854253.1")</f>
        <v>LT854253.1</v>
      </c>
    </row>
    <row r="574" spans="1:7" x14ac:dyDescent="0.35">
      <c r="A574" t="s">
        <v>59</v>
      </c>
      <c r="B574">
        <v>155</v>
      </c>
      <c r="C574">
        <v>155</v>
      </c>
      <c r="D574" s="2">
        <v>0.64</v>
      </c>
      <c r="E574" s="3">
        <v>1E-35</v>
      </c>
      <c r="F574">
        <v>30.87</v>
      </c>
      <c r="G574" t="str">
        <f>HYPERLINK("https://www.ncbi.nlm.nih.gov/nucleotide/LT882676.1?report=genbank&amp;log$=nucltop&amp;blast_rank=60&amp;RID=1CU77E2H013","LT882676.1")</f>
        <v>LT882676.1</v>
      </c>
    </row>
    <row r="575" spans="1:7" x14ac:dyDescent="0.35">
      <c r="A575" t="s">
        <v>58</v>
      </c>
      <c r="B575">
        <v>155</v>
      </c>
      <c r="C575">
        <v>155</v>
      </c>
      <c r="D575" s="2">
        <v>0.64</v>
      </c>
      <c r="E575" s="3">
        <v>1E-35</v>
      </c>
      <c r="F575">
        <v>30.87</v>
      </c>
      <c r="G575" t="str">
        <f>HYPERLINK("https://www.ncbi.nlm.nih.gov/nucleotide/LT854273.1?report=genbank&amp;log$=nucltop&amp;blast_rank=61&amp;RID=1CU77E2H013","LT854273.1")</f>
        <v>LT854273.1</v>
      </c>
    </row>
    <row r="576" spans="1:7" x14ac:dyDescent="0.35">
      <c r="A576" t="s">
        <v>85</v>
      </c>
      <c r="B576">
        <v>193</v>
      </c>
      <c r="C576">
        <v>193</v>
      </c>
      <c r="D576" s="2">
        <v>0.72</v>
      </c>
      <c r="E576" s="3">
        <v>2E-50</v>
      </c>
      <c r="F576">
        <v>30.66</v>
      </c>
      <c r="G576" t="str">
        <f>HYPERLINK("https://www.ncbi.nlm.nih.gov/nucleotide/XM_002559523.1?report=genbank&amp;log$=nucltop&amp;blast_rank=62&amp;RID=1CU77E2H013","XM_002559523.1")</f>
        <v>XM_002559523.1</v>
      </c>
    </row>
    <row r="577" spans="1:7" x14ac:dyDescent="0.35">
      <c r="A577" t="s">
        <v>80</v>
      </c>
      <c r="B577">
        <v>186</v>
      </c>
      <c r="C577">
        <v>186</v>
      </c>
      <c r="D577" s="2">
        <v>0.72</v>
      </c>
      <c r="E577" s="3">
        <v>3.0000000000000002E-47</v>
      </c>
      <c r="F577">
        <v>30.63</v>
      </c>
      <c r="G577" t="str">
        <f>HYPERLINK("https://www.ncbi.nlm.nih.gov/nucleotide/XM_025662501.1?report=genbank&amp;log$=nucltop&amp;blast_rank=63&amp;RID=1CU77E2H013","XM_025662501.1")</f>
        <v>XM_025662501.1</v>
      </c>
    </row>
    <row r="578" spans="1:7" x14ac:dyDescent="0.35">
      <c r="A578" t="s">
        <v>60</v>
      </c>
      <c r="B578">
        <v>183</v>
      </c>
      <c r="C578">
        <v>183</v>
      </c>
      <c r="D578" s="2">
        <v>0.72</v>
      </c>
      <c r="E578" s="3">
        <v>2E-46</v>
      </c>
      <c r="F578">
        <v>30.63</v>
      </c>
      <c r="G578" t="str">
        <f>HYPERLINK("https://www.ncbi.nlm.nih.gov/nucleotide/XM_035498527.1?report=genbank&amp;log$=nucltop&amp;blast_rank=64&amp;RID=1CU77E2H013","XM_035498527.1")</f>
        <v>XM_035498527.1</v>
      </c>
    </row>
    <row r="579" spans="1:7" x14ac:dyDescent="0.35">
      <c r="A579" t="s">
        <v>101</v>
      </c>
      <c r="B579">
        <v>158</v>
      </c>
      <c r="C579">
        <v>158</v>
      </c>
      <c r="D579" s="2">
        <v>0.7</v>
      </c>
      <c r="E579" s="3">
        <v>9.9999999999999996E-39</v>
      </c>
      <c r="F579">
        <v>30.6</v>
      </c>
      <c r="G579" t="str">
        <f>HYPERLINK("https://www.ncbi.nlm.nih.gov/nucleotide/XM_023596533.1?report=genbank&amp;log$=nucltop&amp;blast_rank=65&amp;RID=1CU77E2H013","XM_023596533.1")</f>
        <v>XM_023596533.1</v>
      </c>
    </row>
    <row r="580" spans="1:7" x14ac:dyDescent="0.35">
      <c r="A580" t="s">
        <v>43</v>
      </c>
      <c r="B580">
        <v>183</v>
      </c>
      <c r="C580">
        <v>183</v>
      </c>
      <c r="D580" s="2">
        <v>0.71</v>
      </c>
      <c r="E580" s="3">
        <v>5.0000000000000001E-47</v>
      </c>
      <c r="F580">
        <v>30.55</v>
      </c>
      <c r="G580" t="str">
        <f>HYPERLINK("https://www.ncbi.nlm.nih.gov/nucleotide/XM_022549209.1?report=genbank&amp;log$=nucltop&amp;blast_rank=66&amp;RID=1CU77E2H013","XM_022549209.1")</f>
        <v>XM_022549209.1</v>
      </c>
    </row>
    <row r="581" spans="1:7" x14ac:dyDescent="0.35">
      <c r="A581" t="s">
        <v>36</v>
      </c>
      <c r="B581">
        <v>99</v>
      </c>
      <c r="C581">
        <v>189</v>
      </c>
      <c r="D581" s="2">
        <v>0.7</v>
      </c>
      <c r="E581" s="3">
        <v>7.9999999999999997E-38</v>
      </c>
      <c r="F581">
        <v>30.55</v>
      </c>
      <c r="G581" t="str">
        <f>HYPERLINK("https://www.ncbi.nlm.nih.gov/nucleotide/AM270105.1?report=genbank&amp;log$=nucltop&amp;blast_rank=67&amp;RID=1CU77E2H013","AM270105.1")</f>
        <v>AM270105.1</v>
      </c>
    </row>
    <row r="582" spans="1:7" x14ac:dyDescent="0.35">
      <c r="A582" t="s">
        <v>490</v>
      </c>
      <c r="B582">
        <v>87.8</v>
      </c>
      <c r="C582">
        <v>327</v>
      </c>
      <c r="D582" s="2">
        <v>0.67</v>
      </c>
      <c r="E582" s="3">
        <v>8.9999999999999993E-30</v>
      </c>
      <c r="F582">
        <v>30.51</v>
      </c>
      <c r="G582" t="str">
        <f>HYPERLINK("https://www.ncbi.nlm.nih.gov/nucleotide/CP035528.1?report=genbank&amp;log$=nucltop&amp;blast_rank=68&amp;RID=1CU77E2H013","CP035528.1")</f>
        <v>CP035528.1</v>
      </c>
    </row>
    <row r="583" spans="1:7" x14ac:dyDescent="0.35">
      <c r="A583" t="s">
        <v>40</v>
      </c>
      <c r="B583">
        <v>182</v>
      </c>
      <c r="C583">
        <v>182</v>
      </c>
      <c r="D583" s="2">
        <v>0.74</v>
      </c>
      <c r="E583" s="3">
        <v>2.9999999999999999E-46</v>
      </c>
      <c r="F583">
        <v>30.28</v>
      </c>
      <c r="G583" t="str">
        <f>HYPERLINK("https://www.ncbi.nlm.nih.gov/nucleotide/XM_022531473.1?report=genbank&amp;log$=nucltop&amp;blast_rank=69&amp;RID=1CU77E2H013","XM_022531473.1")</f>
        <v>XM_022531473.1</v>
      </c>
    </row>
    <row r="584" spans="1:7" x14ac:dyDescent="0.35">
      <c r="A584" s="4" t="s">
        <v>50</v>
      </c>
      <c r="B584" s="4">
        <v>184</v>
      </c>
      <c r="C584" s="4">
        <v>184</v>
      </c>
      <c r="D584" s="5">
        <v>0.74</v>
      </c>
      <c r="E584" s="6">
        <v>6.0000000000000003E-47</v>
      </c>
      <c r="F584" s="4">
        <v>29.98</v>
      </c>
      <c r="G584" s="4" t="str">
        <f>HYPERLINK("https://www.ncbi.nlm.nih.gov/nucleotide/XM_032058508.1?report=genbank&amp;log$=nucltop&amp;blast_rank=70&amp;RID=1CU77E2H013","XM_032058508.1")</f>
        <v>XM_032058508.1</v>
      </c>
    </row>
    <row r="585" spans="1:7" x14ac:dyDescent="0.35">
      <c r="A585" t="s">
        <v>89</v>
      </c>
      <c r="B585">
        <v>159</v>
      </c>
      <c r="C585">
        <v>159</v>
      </c>
      <c r="D585" s="2">
        <v>0.69</v>
      </c>
      <c r="E585" s="3">
        <v>1.0000000000000001E-37</v>
      </c>
      <c r="F585">
        <v>29.76</v>
      </c>
      <c r="G585" t="str">
        <f>HYPERLINK("https://www.ncbi.nlm.nih.gov/nucleotide/XM_024828224.1?report=genbank&amp;log$=nucltop&amp;blast_rank=71&amp;RID=1CU77E2H013","XM_024828224.1")</f>
        <v>XM_024828224.1</v>
      </c>
    </row>
    <row r="586" spans="1:7" x14ac:dyDescent="0.35">
      <c r="A586" s="4" t="s">
        <v>66</v>
      </c>
      <c r="B586" s="4">
        <v>169</v>
      </c>
      <c r="C586" s="4">
        <v>169</v>
      </c>
      <c r="D586" s="5">
        <v>0.72</v>
      </c>
      <c r="E586" s="6">
        <v>4.0000000000000002E-42</v>
      </c>
      <c r="F586" s="4">
        <v>29.67</v>
      </c>
      <c r="G586" s="4" t="str">
        <f>HYPERLINK("https://www.ncbi.nlm.nih.gov/nucleotide/XM_035498118.1?report=genbank&amp;log$=nucltop&amp;blast_rank=72&amp;RID=1CU77E2H013","XM_035498118.1")</f>
        <v>XM_035498118.1</v>
      </c>
    </row>
    <row r="587" spans="1:7" x14ac:dyDescent="0.35">
      <c r="A587" t="s">
        <v>82</v>
      </c>
      <c r="B587">
        <v>144</v>
      </c>
      <c r="C587">
        <v>144</v>
      </c>
      <c r="D587" s="2">
        <v>0.62</v>
      </c>
      <c r="E587" s="3">
        <v>5.0000000000000003E-34</v>
      </c>
      <c r="F587">
        <v>29.65</v>
      </c>
      <c r="G587" t="str">
        <f>HYPERLINK("https://www.ncbi.nlm.nih.gov/nucleotide/XM_033601052.1?report=genbank&amp;log$=nucltop&amp;blast_rank=73&amp;RID=1CU77E2H013","XM_033601052.1")</f>
        <v>XM_033601052.1</v>
      </c>
    </row>
    <row r="588" spans="1:7" x14ac:dyDescent="0.35">
      <c r="A588" t="s">
        <v>97</v>
      </c>
      <c r="B588">
        <v>167</v>
      </c>
      <c r="C588">
        <v>167</v>
      </c>
      <c r="D588" s="2">
        <v>0.69</v>
      </c>
      <c r="E588" s="3">
        <v>9.9999999999999993E-41</v>
      </c>
      <c r="F588">
        <v>29.64</v>
      </c>
      <c r="G588" t="str">
        <f>HYPERLINK("https://www.ncbi.nlm.nih.gov/nucleotide/XM_035484606.1?report=genbank&amp;log$=nucltop&amp;blast_rank=74&amp;RID=1CU77E2H013","XM_035484606.1")</f>
        <v>XM_035484606.1</v>
      </c>
    </row>
    <row r="589" spans="1:7" x14ac:dyDescent="0.35">
      <c r="A589" t="s">
        <v>42</v>
      </c>
      <c r="B589">
        <v>172</v>
      </c>
      <c r="C589">
        <v>172</v>
      </c>
      <c r="D589" s="2">
        <v>0.72</v>
      </c>
      <c r="E589" s="3">
        <v>5.0000000000000002E-43</v>
      </c>
      <c r="F589">
        <v>29.52</v>
      </c>
      <c r="G589" t="str">
        <f>HYPERLINK("https://www.ncbi.nlm.nih.gov/nucleotide/XM_015554209.1?report=genbank&amp;log$=nucltop&amp;blast_rank=75&amp;RID=1CU77E2H013","XM_015554209.1")</f>
        <v>XM_015554209.1</v>
      </c>
    </row>
    <row r="590" spans="1:7" x14ac:dyDescent="0.35">
      <c r="A590" t="s">
        <v>491</v>
      </c>
      <c r="B590">
        <v>176</v>
      </c>
      <c r="C590">
        <v>176</v>
      </c>
      <c r="D590" s="2">
        <v>0.72</v>
      </c>
      <c r="E590" s="3">
        <v>1.9999999999999999E-44</v>
      </c>
      <c r="F590">
        <v>29.43</v>
      </c>
      <c r="G590" t="str">
        <f>HYPERLINK("https://www.ncbi.nlm.nih.gov/nucleotide/XM_039068458.1?report=genbank&amp;log$=nucltop&amp;blast_rank=76&amp;RID=1CU77E2H013","XM_039068458.1")</f>
        <v>XM_039068458.1</v>
      </c>
    </row>
    <row r="591" spans="1:7" x14ac:dyDescent="0.35">
      <c r="A591" s="4" t="s">
        <v>55</v>
      </c>
      <c r="B591" s="4">
        <v>179</v>
      </c>
      <c r="C591" s="4">
        <v>179</v>
      </c>
      <c r="D591" s="5">
        <v>0.74</v>
      </c>
      <c r="E591" s="6">
        <v>2E-45</v>
      </c>
      <c r="F591" s="4">
        <v>29.37</v>
      </c>
      <c r="G591" s="4" t="str">
        <f>HYPERLINK("https://www.ncbi.nlm.nih.gov/nucleotide/XM_032074407.1?report=genbank&amp;log$=nucltop&amp;blast_rank=77&amp;RID=1CU77E2H013","XM_032074407.1")</f>
        <v>XM_032074407.1</v>
      </c>
    </row>
    <row r="592" spans="1:7" x14ac:dyDescent="0.35">
      <c r="A592" t="s">
        <v>79</v>
      </c>
      <c r="B592">
        <v>177</v>
      </c>
      <c r="C592">
        <v>177</v>
      </c>
      <c r="D592" s="2">
        <v>0.68</v>
      </c>
      <c r="E592" s="3">
        <v>6.0000000000000002E-45</v>
      </c>
      <c r="F592">
        <v>29.34</v>
      </c>
      <c r="G592" t="str">
        <f>HYPERLINK("https://www.ncbi.nlm.nih.gov/nucleotide/XM_033553550.1?report=genbank&amp;log$=nucltop&amp;blast_rank=78&amp;RID=1CU77E2H013","XM_033553550.1")</f>
        <v>XM_033553550.1</v>
      </c>
    </row>
    <row r="593" spans="1:7" x14ac:dyDescent="0.35">
      <c r="A593" t="s">
        <v>45</v>
      </c>
      <c r="B593">
        <v>191</v>
      </c>
      <c r="C593">
        <v>191</v>
      </c>
      <c r="D593" s="2">
        <v>0.75</v>
      </c>
      <c r="E593" s="3">
        <v>9.9999999999999994E-50</v>
      </c>
      <c r="F593">
        <v>29.32</v>
      </c>
      <c r="G593" t="str">
        <f>HYPERLINK("https://www.ncbi.nlm.nih.gov/nucleotide/XM_007926421.1?report=genbank&amp;log$=nucltop&amp;blast_rank=79&amp;RID=1CU77E2H013","XM_007926421.1")</f>
        <v>XM_007926421.1</v>
      </c>
    </row>
    <row r="594" spans="1:7" x14ac:dyDescent="0.35">
      <c r="A594" s="4" t="s">
        <v>47</v>
      </c>
      <c r="B594" s="4">
        <v>173</v>
      </c>
      <c r="C594" s="4">
        <v>173</v>
      </c>
      <c r="D594" s="5">
        <v>0.72</v>
      </c>
      <c r="E594" s="6">
        <v>3E-43</v>
      </c>
      <c r="F594" s="4">
        <v>29.29</v>
      </c>
      <c r="G594" s="4" t="str">
        <f>HYPERLINK("https://www.ncbi.nlm.nih.gov/nucleotide/XM_032089869.1?report=genbank&amp;log$=nucltop&amp;blast_rank=80&amp;RID=1CU77E2H013","XM_032089869.1")</f>
        <v>XM_032089869.1</v>
      </c>
    </row>
    <row r="595" spans="1:7" x14ac:dyDescent="0.35">
      <c r="A595" t="s">
        <v>49</v>
      </c>
      <c r="B595">
        <v>152</v>
      </c>
      <c r="C595">
        <v>152</v>
      </c>
      <c r="D595" s="2">
        <v>0.75</v>
      </c>
      <c r="E595" s="3">
        <v>9.0000000000000005E-36</v>
      </c>
      <c r="F595">
        <v>29.09</v>
      </c>
      <c r="G595" t="str">
        <f>HYPERLINK("https://www.ncbi.nlm.nih.gov/nucleotide/XM_001217916.1?report=genbank&amp;log$=nucltop&amp;blast_rank=81&amp;RID=1CU77E2H013","XM_001217916.1")</f>
        <v>XM_001217916.1</v>
      </c>
    </row>
    <row r="596" spans="1:7" x14ac:dyDescent="0.35">
      <c r="A596" t="s">
        <v>68</v>
      </c>
      <c r="B596">
        <v>154</v>
      </c>
      <c r="C596">
        <v>154</v>
      </c>
      <c r="D596" s="2">
        <v>0.63</v>
      </c>
      <c r="E596" s="3">
        <v>1.0000000000000001E-37</v>
      </c>
      <c r="F596">
        <v>28.98</v>
      </c>
      <c r="G596" t="str">
        <f>HYPERLINK("https://www.ncbi.nlm.nih.gov/nucleotide/XM_001262908.1?report=genbank&amp;log$=nucltop&amp;blast_rank=82&amp;RID=1CU77E2H013","XM_001262908.1")</f>
        <v>XM_001262908.1</v>
      </c>
    </row>
    <row r="597" spans="1:7" x14ac:dyDescent="0.35">
      <c r="A597" t="s">
        <v>90</v>
      </c>
      <c r="B597">
        <v>175</v>
      </c>
      <c r="C597">
        <v>175</v>
      </c>
      <c r="D597" s="2">
        <v>0.72</v>
      </c>
      <c r="E597" s="3">
        <v>2.0000000000000002E-43</v>
      </c>
      <c r="F597">
        <v>28.91</v>
      </c>
      <c r="G597" t="str">
        <f>HYPERLINK("https://www.ncbi.nlm.nih.gov/nucleotide/XM_025683366.1?report=genbank&amp;log$=nucltop&amp;blast_rank=83&amp;RID=1CU77E2H013","XM_025683366.1")</f>
        <v>XM_025683366.1</v>
      </c>
    </row>
    <row r="598" spans="1:7" x14ac:dyDescent="0.35">
      <c r="A598" t="s">
        <v>69</v>
      </c>
      <c r="B598">
        <v>157</v>
      </c>
      <c r="C598">
        <v>157</v>
      </c>
      <c r="D598" s="2">
        <v>0.72</v>
      </c>
      <c r="E598" s="3">
        <v>1.0000000000000001E-37</v>
      </c>
      <c r="F598">
        <v>28.81</v>
      </c>
      <c r="G598" t="str">
        <f>HYPERLINK("https://www.ncbi.nlm.nih.gov/nucleotide/XM_001401884.2?report=genbank&amp;log$=nucltop&amp;blast_rank=84&amp;RID=1CU77E2H013","XM_001401884.2")</f>
        <v>XM_001401884.2</v>
      </c>
    </row>
    <row r="599" spans="1:7" x14ac:dyDescent="0.35">
      <c r="A599" t="s">
        <v>72</v>
      </c>
      <c r="B599">
        <v>156</v>
      </c>
      <c r="C599">
        <v>156</v>
      </c>
      <c r="D599" s="2">
        <v>0.72</v>
      </c>
      <c r="E599" s="3">
        <v>6E-37</v>
      </c>
      <c r="F599">
        <v>28.81</v>
      </c>
      <c r="G599" t="str">
        <f>HYPERLINK("https://www.ncbi.nlm.nih.gov/nucleotide/XM_025601684.1?report=genbank&amp;log$=nucltop&amp;blast_rank=85&amp;RID=1CU77E2H013","XM_025601684.1")</f>
        <v>XM_025601684.1</v>
      </c>
    </row>
    <row r="600" spans="1:7" x14ac:dyDescent="0.35">
      <c r="A600" t="s">
        <v>100</v>
      </c>
      <c r="B600">
        <v>132</v>
      </c>
      <c r="C600">
        <v>132</v>
      </c>
      <c r="D600" s="2">
        <v>0.72</v>
      </c>
      <c r="E600" s="3">
        <v>3.9999999999999998E-29</v>
      </c>
      <c r="F600">
        <v>28.68</v>
      </c>
      <c r="G600" t="str">
        <f>HYPERLINK("https://www.ncbi.nlm.nih.gov/nucleotide/XM_033569058.1?report=genbank&amp;log$=nucltop&amp;blast_rank=86&amp;RID=1CU77E2H013","XM_033569058.1")</f>
        <v>XM_033569058.1</v>
      </c>
    </row>
    <row r="601" spans="1:7" x14ac:dyDescent="0.35">
      <c r="A601" t="s">
        <v>56</v>
      </c>
      <c r="B601">
        <v>189</v>
      </c>
      <c r="C601">
        <v>189</v>
      </c>
      <c r="D601" s="2">
        <v>0.8</v>
      </c>
      <c r="E601" s="3">
        <v>8.9999999999999992E-50</v>
      </c>
      <c r="F601">
        <v>28.6</v>
      </c>
      <c r="G601" t="str">
        <f>HYPERLINK("https://www.ncbi.nlm.nih.gov/nucleotide/XM_024844676.1?report=genbank&amp;log$=nucltop&amp;blast_rank=87&amp;RID=1CU77E2H013","XM_024844676.1")</f>
        <v>XM_024844676.1</v>
      </c>
    </row>
    <row r="602" spans="1:7" x14ac:dyDescent="0.35">
      <c r="A602" t="s">
        <v>105</v>
      </c>
      <c r="B602">
        <v>149</v>
      </c>
      <c r="C602">
        <v>149</v>
      </c>
      <c r="D602" s="2">
        <v>0.69</v>
      </c>
      <c r="E602" s="3">
        <v>1.0000000000000001E-33</v>
      </c>
      <c r="F602">
        <v>28.4</v>
      </c>
      <c r="G602" t="str">
        <f>HYPERLINK("https://www.ncbi.nlm.nih.gov/nucleotide/XM_033555780.1?report=genbank&amp;log$=nucltop&amp;blast_rank=88&amp;RID=1CU77E2H013","XM_033555780.1")</f>
        <v>XM_033555780.1</v>
      </c>
    </row>
    <row r="603" spans="1:7" x14ac:dyDescent="0.35">
      <c r="A603" t="s">
        <v>77</v>
      </c>
      <c r="B603">
        <v>142</v>
      </c>
      <c r="C603">
        <v>142</v>
      </c>
      <c r="D603" s="2">
        <v>0.68</v>
      </c>
      <c r="E603" s="3">
        <v>9.0000000000000001E-32</v>
      </c>
      <c r="F603">
        <v>28.18</v>
      </c>
      <c r="G603" t="str">
        <f>HYPERLINK("https://www.ncbi.nlm.nih.gov/nucleotide/XM_025680603.1?report=genbank&amp;log$=nucltop&amp;blast_rank=89&amp;RID=1CU77E2H013","XM_025680603.1")</f>
        <v>XM_025680603.1</v>
      </c>
    </row>
    <row r="604" spans="1:7" x14ac:dyDescent="0.35">
      <c r="A604" t="s">
        <v>98</v>
      </c>
      <c r="B604">
        <v>139</v>
      </c>
      <c r="C604">
        <v>244</v>
      </c>
      <c r="D604" s="2">
        <v>0.72</v>
      </c>
      <c r="E604" s="3">
        <v>2.0000000000000002E-30</v>
      </c>
      <c r="F604">
        <v>28.15</v>
      </c>
      <c r="G604" t="str">
        <f>HYPERLINK("https://www.ncbi.nlm.nih.gov/nucleotide/XM_026749516.1?report=genbank&amp;log$=nucltop&amp;blast_rank=90&amp;RID=1CU77E2H013","XM_026749516.1")</f>
        <v>XM_026749516.1</v>
      </c>
    </row>
    <row r="605" spans="1:7" x14ac:dyDescent="0.35">
      <c r="A605" t="s">
        <v>84</v>
      </c>
      <c r="B605">
        <v>159</v>
      </c>
      <c r="C605">
        <v>159</v>
      </c>
      <c r="D605" s="2">
        <v>0.69</v>
      </c>
      <c r="E605" s="3">
        <v>3.9999999999999998E-38</v>
      </c>
      <c r="F605">
        <v>27.92</v>
      </c>
      <c r="G605" t="str">
        <f>HYPERLINK("https://www.ncbi.nlm.nih.gov/nucleotide/XM_023599633.1?report=genbank&amp;log$=nucltop&amp;blast_rank=91&amp;RID=1CU77E2H013","XM_023599633.1")</f>
        <v>XM_023599633.1</v>
      </c>
    </row>
    <row r="606" spans="1:7" x14ac:dyDescent="0.35">
      <c r="A606" t="s">
        <v>102</v>
      </c>
      <c r="B606">
        <v>133</v>
      </c>
      <c r="C606">
        <v>164</v>
      </c>
      <c r="D606" s="2">
        <v>0.68</v>
      </c>
      <c r="E606" s="3">
        <v>2.0000000000000002E-30</v>
      </c>
      <c r="F606">
        <v>27.75</v>
      </c>
      <c r="G606" t="str">
        <f>HYPERLINK("https://www.ncbi.nlm.nih.gov/nucleotide/CP055898.1?report=genbank&amp;log$=nucltop&amp;blast_rank=92&amp;RID=1CU77E2H013","CP055898.1")</f>
        <v>CP055898.1</v>
      </c>
    </row>
    <row r="607" spans="1:7" x14ac:dyDescent="0.35">
      <c r="A607" t="s">
        <v>492</v>
      </c>
      <c r="B607">
        <v>87.4</v>
      </c>
      <c r="C607">
        <v>162</v>
      </c>
      <c r="D607" s="2">
        <v>0.69</v>
      </c>
      <c r="E607" s="3">
        <v>9.9999999999999994E-30</v>
      </c>
      <c r="F607">
        <v>27.44</v>
      </c>
      <c r="G607" t="str">
        <f>HYPERLINK("https://www.ncbi.nlm.nih.gov/nucleotide/CP066506.1?report=genbank&amp;log$=nucltop&amp;blast_rank=93&amp;RID=1CU77E2H013","CP066506.1")</f>
        <v>CP066506.1</v>
      </c>
    </row>
    <row r="608" spans="1:7" x14ac:dyDescent="0.35">
      <c r="A608" t="s">
        <v>78</v>
      </c>
      <c r="B608">
        <v>130</v>
      </c>
      <c r="C608">
        <v>130</v>
      </c>
      <c r="D608" s="2">
        <v>0.72</v>
      </c>
      <c r="E608" s="3">
        <v>3.9999999999999998E-29</v>
      </c>
      <c r="F608">
        <v>27.25</v>
      </c>
      <c r="G608" t="str">
        <f>HYPERLINK("https://www.ncbi.nlm.nih.gov/nucleotide/XM_001262909.1?report=genbank&amp;log$=nucltop&amp;blast_rank=94&amp;RID=1CU77E2H013","XM_001262909.1")</f>
        <v>XM_001262909.1</v>
      </c>
    </row>
    <row r="609" spans="1:7" x14ac:dyDescent="0.35">
      <c r="A609" t="s">
        <v>71</v>
      </c>
      <c r="B609">
        <v>140</v>
      </c>
      <c r="C609">
        <v>140</v>
      </c>
      <c r="D609" s="2">
        <v>0.72</v>
      </c>
      <c r="E609" s="3">
        <v>2.0000000000000002E-31</v>
      </c>
      <c r="F609">
        <v>27.23</v>
      </c>
      <c r="G609" t="str">
        <f>HYPERLINK("https://www.ncbi.nlm.nih.gov/nucleotide/XM_025658697.1?report=genbank&amp;log$=nucltop&amp;blast_rank=95&amp;RID=1CU77E2H013","XM_025658697.1")</f>
        <v>XM_025658697.1</v>
      </c>
    </row>
    <row r="610" spans="1:7" x14ac:dyDescent="0.35">
      <c r="A610" t="s">
        <v>96</v>
      </c>
      <c r="B610">
        <v>137</v>
      </c>
      <c r="C610">
        <v>137</v>
      </c>
      <c r="D610" s="2">
        <v>0.72</v>
      </c>
      <c r="E610" s="3">
        <v>5.9999999999999998E-30</v>
      </c>
      <c r="F610">
        <v>27</v>
      </c>
      <c r="G610" t="str">
        <f>HYPERLINK("https://www.ncbi.nlm.nih.gov/nucleotide/XM_026772820.1?report=genbank&amp;log$=nucltop&amp;blast_rank=96&amp;RID=1CU77E2H013","XM_026772820.1")</f>
        <v>XM_026772820.1</v>
      </c>
    </row>
    <row r="611" spans="1:7" x14ac:dyDescent="0.35">
      <c r="A611" t="s">
        <v>86</v>
      </c>
      <c r="B611">
        <v>140</v>
      </c>
      <c r="C611">
        <v>177</v>
      </c>
      <c r="D611" s="2">
        <v>0.68</v>
      </c>
      <c r="E611" s="3">
        <v>6E-34</v>
      </c>
      <c r="F611">
        <v>26.75</v>
      </c>
      <c r="G611" t="str">
        <f>HYPERLINK("https://www.ncbi.nlm.nih.gov/nucleotide/AM920428.1?report=genbank&amp;log$=nucltop&amp;blast_rank=97&amp;RID=1CU77E2H013","AM920428.1")</f>
        <v>AM920428.1</v>
      </c>
    </row>
    <row r="612" spans="1:7" x14ac:dyDescent="0.35">
      <c r="A612" t="s">
        <v>64</v>
      </c>
      <c r="B612">
        <v>134</v>
      </c>
      <c r="C612">
        <v>134</v>
      </c>
      <c r="D612" s="2">
        <v>0.74</v>
      </c>
      <c r="E612" s="3">
        <v>3.9999999999999998E-29</v>
      </c>
      <c r="F612">
        <v>26.3</v>
      </c>
      <c r="G612" t="str">
        <f>HYPERLINK("https://www.ncbi.nlm.nih.gov/nucleotide/XM_025524425.1?report=genbank&amp;log$=nucltop&amp;blast_rank=98&amp;RID=1CU77E2H013","XM_025524425.1")</f>
        <v>XM_025524425.1</v>
      </c>
    </row>
    <row r="613" spans="1:7" x14ac:dyDescent="0.35">
      <c r="A613" s="4" t="s">
        <v>87</v>
      </c>
      <c r="B613" s="4">
        <v>141</v>
      </c>
      <c r="C613" s="4">
        <v>141</v>
      </c>
      <c r="D613" s="5">
        <v>0.69</v>
      </c>
      <c r="E613" s="6">
        <v>2.9999999999999998E-31</v>
      </c>
      <c r="F613" s="4">
        <v>26.27</v>
      </c>
      <c r="G613" s="4" t="str">
        <f>HYPERLINK("https://www.ncbi.nlm.nih.gov/nucleotide/XM_007819030.2?report=genbank&amp;log$=nucltop&amp;blast_rank=99&amp;RID=1CU77E2H013","XM_007819030.2")</f>
        <v>XM_007819030.2</v>
      </c>
    </row>
    <row r="614" spans="1:7" x14ac:dyDescent="0.35">
      <c r="A614" s="4" t="s">
        <v>99</v>
      </c>
      <c r="B614" s="4">
        <v>137</v>
      </c>
      <c r="C614" s="4">
        <v>137</v>
      </c>
      <c r="D614" s="5">
        <v>0.69</v>
      </c>
      <c r="E614" s="6">
        <v>8.0000000000000007E-30</v>
      </c>
      <c r="F614" s="4">
        <v>25.6</v>
      </c>
      <c r="G614" s="4" t="str">
        <f>HYPERLINK("https://www.ncbi.nlm.nih.gov/nucleotide/XM_014687487.1?report=genbank&amp;log$=nucltop&amp;blast_rank=100&amp;RID=1CU77E2H013","XM_014687487.1")</f>
        <v>XM_014687487.1</v>
      </c>
    </row>
    <row r="615" spans="1:7" x14ac:dyDescent="0.35">
      <c r="A615" s="1" t="s">
        <v>493</v>
      </c>
    </row>
    <row r="616" spans="1:7" x14ac:dyDescent="0.35">
      <c r="A616" s="1" t="s">
        <v>2</v>
      </c>
      <c r="B616" s="1" t="s">
        <v>3</v>
      </c>
      <c r="C616" s="1" t="s">
        <v>4</v>
      </c>
      <c r="D616" s="1" t="s">
        <v>5</v>
      </c>
      <c r="E616" s="1" t="s">
        <v>6</v>
      </c>
      <c r="F616" s="1" t="s">
        <v>7</v>
      </c>
      <c r="G616" s="1" t="s">
        <v>8</v>
      </c>
    </row>
    <row r="617" spans="1:7" x14ac:dyDescent="0.35">
      <c r="A617" t="s">
        <v>37</v>
      </c>
      <c r="B617">
        <v>160</v>
      </c>
      <c r="C617">
        <v>285</v>
      </c>
      <c r="D617" s="2">
        <v>0.89</v>
      </c>
      <c r="E617" s="3">
        <v>3.9999999999999998E-67</v>
      </c>
      <c r="F617">
        <v>67.69</v>
      </c>
      <c r="G617" t="str">
        <f>HYPERLINK("https://www.ncbi.nlm.nih.gov/nucleotide/LR732085.1?report=genbank&amp;log$=nucltop&amp;blast_rank=1&amp;RID=1CU9499F013","LR732085.1")</f>
        <v>LR732085.1</v>
      </c>
    </row>
    <row r="618" spans="1:7" x14ac:dyDescent="0.35">
      <c r="A618" t="s">
        <v>405</v>
      </c>
      <c r="B618">
        <v>83.2</v>
      </c>
      <c r="C618">
        <v>83.2</v>
      </c>
      <c r="D618" s="2">
        <v>0.39</v>
      </c>
      <c r="E618" s="3">
        <v>2E-14</v>
      </c>
      <c r="F618">
        <v>54.12</v>
      </c>
      <c r="G618" t="str">
        <f>HYPERLINK("https://www.ncbi.nlm.nih.gov/nucleotide/CP019382.1?report=genbank&amp;log$=nucltop&amp;blast_rank=2&amp;RID=1CU9499F013","CP019382.1")</f>
        <v>CP019382.1</v>
      </c>
    </row>
    <row r="619" spans="1:7" x14ac:dyDescent="0.35">
      <c r="A619" t="s">
        <v>385</v>
      </c>
      <c r="B619">
        <v>63.2</v>
      </c>
      <c r="C619">
        <v>63.2</v>
      </c>
      <c r="D619" s="2">
        <v>0.31</v>
      </c>
      <c r="E619" s="3">
        <v>9.9999999999999995E-8</v>
      </c>
      <c r="F619">
        <v>50.77</v>
      </c>
      <c r="G619" t="str">
        <f>HYPERLINK("https://www.ncbi.nlm.nih.gov/nucleotide/CP015468.1?report=genbank&amp;log$=nucltop&amp;blast_rank=3&amp;RID=1CU9499F013","CP015468.1")</f>
        <v>CP015468.1</v>
      </c>
    </row>
    <row r="620" spans="1:7" x14ac:dyDescent="0.35">
      <c r="A620" t="s">
        <v>382</v>
      </c>
      <c r="B620">
        <v>62.8</v>
      </c>
      <c r="C620">
        <v>62.8</v>
      </c>
      <c r="D620" s="2">
        <v>0.31</v>
      </c>
      <c r="E620" s="3">
        <v>1.9999999999999999E-7</v>
      </c>
      <c r="F620">
        <v>50.77</v>
      </c>
      <c r="G620" t="str">
        <f>HYPERLINK("https://www.ncbi.nlm.nih.gov/nucleotide/CP039884.1?report=genbank&amp;log$=nucltop&amp;blast_rank=4&amp;RID=1CU9499F013","CP039884.1")</f>
        <v>CP039884.1</v>
      </c>
    </row>
    <row r="621" spans="1:7" x14ac:dyDescent="0.35">
      <c r="A621" t="s">
        <v>383</v>
      </c>
      <c r="B621">
        <v>62.8</v>
      </c>
      <c r="C621">
        <v>62.8</v>
      </c>
      <c r="D621" s="2">
        <v>0.31</v>
      </c>
      <c r="E621" s="3">
        <v>1.9999999999999999E-7</v>
      </c>
      <c r="F621">
        <v>50.77</v>
      </c>
      <c r="G621" t="str">
        <f>HYPERLINK("https://www.ncbi.nlm.nih.gov/nucleotide/CP015481.1?report=genbank&amp;log$=nucltop&amp;blast_rank=5&amp;RID=1CU9499F013","CP015481.1")</f>
        <v>CP015481.1</v>
      </c>
    </row>
    <row r="622" spans="1:7" x14ac:dyDescent="0.35">
      <c r="A622" t="s">
        <v>381</v>
      </c>
      <c r="B622">
        <v>58.2</v>
      </c>
      <c r="C622">
        <v>58.2</v>
      </c>
      <c r="D622" s="2">
        <v>0.33</v>
      </c>
      <c r="E622" s="3">
        <v>6.0000000000000002E-6</v>
      </c>
      <c r="F622">
        <v>49.28</v>
      </c>
      <c r="G622" t="str">
        <f>HYPERLINK("https://www.ncbi.nlm.nih.gov/nucleotide/CP068008.1?report=genbank&amp;log$=nucltop&amp;blast_rank=6&amp;RID=1CU9499F013","CP068008.1")</f>
        <v>CP068008.1</v>
      </c>
    </row>
    <row r="623" spans="1:7" x14ac:dyDescent="0.35">
      <c r="A623" s="4" t="s">
        <v>494</v>
      </c>
      <c r="B623" s="4">
        <v>68.599999999999994</v>
      </c>
      <c r="C623" s="4">
        <v>68.599999999999994</v>
      </c>
      <c r="D623" s="5">
        <v>0.37</v>
      </c>
      <c r="E623" s="6">
        <v>1.0000000000000001E-9</v>
      </c>
      <c r="F623" s="4">
        <v>48.72</v>
      </c>
      <c r="G623" s="4" t="str">
        <f>HYPERLINK("https://www.ncbi.nlm.nih.gov/nucleotide/XM_001835028.2?report=genbank&amp;log$=nucltop&amp;blast_rank=7&amp;RID=1CU9499F013","XM_001835028.2")</f>
        <v>XM_001835028.2</v>
      </c>
    </row>
    <row r="624" spans="1:7" x14ac:dyDescent="0.35">
      <c r="A624" t="s">
        <v>495</v>
      </c>
      <c r="B624">
        <v>60.8</v>
      </c>
      <c r="C624">
        <v>60.8</v>
      </c>
      <c r="D624" s="2">
        <v>0.37</v>
      </c>
      <c r="E624" s="3">
        <v>2.9999999999999999E-7</v>
      </c>
      <c r="F624">
        <v>45.45</v>
      </c>
      <c r="G624" t="str">
        <f>HYPERLINK("https://www.ncbi.nlm.nih.gov/nucleotide/XM_768845.1?report=genbank&amp;log$=nucltop&amp;blast_rank=8&amp;RID=1CU9499F013","XM_768845.1")</f>
        <v>XM_768845.1</v>
      </c>
    </row>
    <row r="625" spans="1:7" x14ac:dyDescent="0.35">
      <c r="A625" s="4" t="s">
        <v>496</v>
      </c>
      <c r="B625" s="4">
        <v>60.8</v>
      </c>
      <c r="C625" s="4">
        <v>60.8</v>
      </c>
      <c r="D625" s="5">
        <v>0.37</v>
      </c>
      <c r="E625" s="6">
        <v>3.9999999999999998E-7</v>
      </c>
      <c r="F625" s="4">
        <v>45.45</v>
      </c>
      <c r="G625" s="4" t="str">
        <f>HYPERLINK("https://www.ncbi.nlm.nih.gov/nucleotide/XM_024657893.1?report=genbank&amp;log$=nucltop&amp;blast_rank=9&amp;RID=1CU9499F013","XM_024657893.1")</f>
        <v>XM_024657893.1</v>
      </c>
    </row>
    <row r="626" spans="1:7" x14ac:dyDescent="0.35">
      <c r="A626" s="4" t="s">
        <v>497</v>
      </c>
      <c r="B626" s="4">
        <v>59.7</v>
      </c>
      <c r="C626" s="4">
        <v>59.7</v>
      </c>
      <c r="D626" s="5">
        <v>0.36</v>
      </c>
      <c r="E626" s="6">
        <v>8.9999999999999996E-7</v>
      </c>
      <c r="F626" s="4">
        <v>44.74</v>
      </c>
      <c r="G626" s="4" t="str">
        <f>HYPERLINK("https://www.ncbi.nlm.nih.gov/nucleotide/XM_003195720.1?report=genbank&amp;log$=nucltop&amp;blast_rank=10&amp;RID=1CU9499F013","XM_003195720.1")</f>
        <v>XM_003195720.1</v>
      </c>
    </row>
    <row r="627" spans="1:7" x14ac:dyDescent="0.35">
      <c r="A627" t="s">
        <v>498</v>
      </c>
      <c r="B627">
        <v>48.9</v>
      </c>
      <c r="C627">
        <v>48.9</v>
      </c>
      <c r="D627" s="2">
        <v>0.28999999999999998</v>
      </c>
      <c r="E627">
        <v>1E-3</v>
      </c>
      <c r="F627">
        <v>44.26</v>
      </c>
      <c r="G627" t="str">
        <f>HYPERLINK("https://www.ncbi.nlm.nih.gov/nucleotide/XM_007413685.1?report=genbank&amp;log$=nucltop&amp;blast_rank=11&amp;RID=1CU9499F013","XM_007413685.1")</f>
        <v>XM_007413685.1</v>
      </c>
    </row>
    <row r="628" spans="1:7" x14ac:dyDescent="0.35">
      <c r="A628" s="4" t="s">
        <v>499</v>
      </c>
      <c r="B628" s="4">
        <v>59.3</v>
      </c>
      <c r="C628" s="4">
        <v>59.3</v>
      </c>
      <c r="D628" s="5">
        <v>0.37</v>
      </c>
      <c r="E628" s="6">
        <v>1.9999999999999999E-6</v>
      </c>
      <c r="F628" s="4">
        <v>44.16</v>
      </c>
      <c r="G628" s="4" t="str">
        <f>HYPERLINK("https://www.ncbi.nlm.nih.gov/nucleotide/XM_012196313.1?report=genbank&amp;log$=nucltop&amp;blast_rank=12&amp;RID=1CU9499F013","XM_012196313.1")</f>
        <v>XM_012196313.1</v>
      </c>
    </row>
    <row r="629" spans="1:7" x14ac:dyDescent="0.35">
      <c r="A629" t="s">
        <v>500</v>
      </c>
      <c r="B629">
        <v>50.4</v>
      </c>
      <c r="C629">
        <v>50.4</v>
      </c>
      <c r="D629" s="2">
        <v>0.32</v>
      </c>
      <c r="E629">
        <v>3.0000000000000001E-3</v>
      </c>
      <c r="F629">
        <v>43.94</v>
      </c>
      <c r="G629" t="str">
        <f>HYPERLINK("https://www.ncbi.nlm.nih.gov/nucleotide/CP025766.1?report=genbank&amp;log$=nucltop&amp;blast_rank=13&amp;RID=1CU9499F013","CP025766.1")</f>
        <v>CP025766.1</v>
      </c>
    </row>
    <row r="630" spans="1:7" x14ac:dyDescent="0.35">
      <c r="A630" t="s">
        <v>501</v>
      </c>
      <c r="B630">
        <v>50.1</v>
      </c>
      <c r="C630">
        <v>50.1</v>
      </c>
      <c r="D630" s="2">
        <v>0.32</v>
      </c>
      <c r="E630">
        <v>3.0000000000000001E-3</v>
      </c>
      <c r="F630">
        <v>43.94</v>
      </c>
      <c r="G630" t="str">
        <f>HYPERLINK("https://www.ncbi.nlm.nih.gov/nucleotide/AE017349.1?report=genbank&amp;log$=nucltop&amp;blast_rank=14&amp;RID=1CU9499F013","AE017349.1")</f>
        <v>AE017349.1</v>
      </c>
    </row>
    <row r="631" spans="1:7" x14ac:dyDescent="0.35">
      <c r="A631" t="s">
        <v>502</v>
      </c>
      <c r="B631">
        <v>49.7</v>
      </c>
      <c r="C631">
        <v>49.7</v>
      </c>
      <c r="D631" s="2">
        <v>0.32</v>
      </c>
      <c r="E631">
        <v>5.0000000000000001E-3</v>
      </c>
      <c r="F631">
        <v>43.94</v>
      </c>
      <c r="G631" t="str">
        <f>HYPERLINK("https://www.ncbi.nlm.nih.gov/nucleotide/CP000293.1?report=genbank&amp;log$=nucltop&amp;blast_rank=15&amp;RID=1CU9499F013","CP000293.1")</f>
        <v>CP000293.1</v>
      </c>
    </row>
    <row r="632" spans="1:7" x14ac:dyDescent="0.35">
      <c r="A632" s="4" t="s">
        <v>503</v>
      </c>
      <c r="B632" s="4">
        <v>54.7</v>
      </c>
      <c r="C632" s="4">
        <v>54.7</v>
      </c>
      <c r="D632" s="5">
        <v>0.33</v>
      </c>
      <c r="E632" s="6">
        <v>5.0000000000000002E-5</v>
      </c>
      <c r="F632" s="4">
        <v>43.48</v>
      </c>
      <c r="G632" s="4" t="str">
        <f>HYPERLINK("https://www.ncbi.nlm.nih.gov/nucleotide/XM_022613792.1?report=genbank&amp;log$=nucltop&amp;blast_rank=16&amp;RID=1CU9499F013","XM_022613792.1")</f>
        <v>XM_022613792.1</v>
      </c>
    </row>
    <row r="633" spans="1:7" x14ac:dyDescent="0.35">
      <c r="A633" t="s">
        <v>126</v>
      </c>
      <c r="B633">
        <v>73.599999999999994</v>
      </c>
      <c r="C633">
        <v>73.599999999999994</v>
      </c>
      <c r="D633" s="2">
        <v>0.48</v>
      </c>
      <c r="E633" s="3">
        <v>9.9999999999999994E-12</v>
      </c>
      <c r="F633">
        <v>42.42</v>
      </c>
      <c r="G633" t="str">
        <f>HYPERLINK("https://www.ncbi.nlm.nih.gov/nucleotide/XM_007776238.1?report=genbank&amp;log$=nucltop&amp;blast_rank=17&amp;RID=1CU9499F013","XM_007776238.1")</f>
        <v>XM_007776238.1</v>
      </c>
    </row>
    <row r="634" spans="1:7" x14ac:dyDescent="0.35">
      <c r="A634" s="4" t="s">
        <v>504</v>
      </c>
      <c r="B634" s="4">
        <v>53.1</v>
      </c>
      <c r="C634" s="4">
        <v>53.1</v>
      </c>
      <c r="D634" s="5">
        <v>0.32</v>
      </c>
      <c r="E634" s="6">
        <v>2.0000000000000001E-4</v>
      </c>
      <c r="F634" s="4">
        <v>42.42</v>
      </c>
      <c r="G634" s="4" t="str">
        <f>HYPERLINK("https://www.ncbi.nlm.nih.gov/nucleotide/XM_008098815.1?report=genbank&amp;log$=nucltop&amp;blast_rank=18&amp;RID=1CU9499F013","XM_008098815.1")</f>
        <v>XM_008098815.1</v>
      </c>
    </row>
    <row r="635" spans="1:7" x14ac:dyDescent="0.35">
      <c r="A635" s="4" t="s">
        <v>505</v>
      </c>
      <c r="B635" s="4">
        <v>52.8</v>
      </c>
      <c r="C635" s="4">
        <v>52.8</v>
      </c>
      <c r="D635" s="5">
        <v>0.32</v>
      </c>
      <c r="E635" s="6">
        <v>2.0000000000000001E-4</v>
      </c>
      <c r="F635" s="4">
        <v>42.42</v>
      </c>
      <c r="G635" s="4" t="str">
        <f>HYPERLINK("https://www.ncbi.nlm.nih.gov/nucleotide/XM_018307603.1?report=genbank&amp;log$=nucltop&amp;blast_rank=19&amp;RID=1CU9499F013","XM_018307603.1")</f>
        <v>XM_018307603.1</v>
      </c>
    </row>
    <row r="636" spans="1:7" x14ac:dyDescent="0.35">
      <c r="A636" s="4" t="s">
        <v>506</v>
      </c>
      <c r="B636" s="4">
        <v>53.1</v>
      </c>
      <c r="C636" s="4">
        <v>53.1</v>
      </c>
      <c r="D636" s="5">
        <v>0.32</v>
      </c>
      <c r="E636" s="6">
        <v>2.0000000000000001E-4</v>
      </c>
      <c r="F636" s="4">
        <v>42.42</v>
      </c>
      <c r="G636" s="4" t="str">
        <f>HYPERLINK("https://www.ncbi.nlm.nih.gov/nucleotide/XM_038886705.1?report=genbank&amp;log$=nucltop&amp;blast_rank=20&amp;RID=1CU9499F013","XM_038886705.1")</f>
        <v>XM_038886705.1</v>
      </c>
    </row>
    <row r="637" spans="1:7" x14ac:dyDescent="0.35">
      <c r="A637" s="4" t="s">
        <v>507</v>
      </c>
      <c r="B637" s="4">
        <v>52.4</v>
      </c>
      <c r="C637" s="4">
        <v>52.4</v>
      </c>
      <c r="D637" s="5">
        <v>0.32</v>
      </c>
      <c r="E637" s="6">
        <v>5.0000000000000001E-4</v>
      </c>
      <c r="F637" s="4">
        <v>42.42</v>
      </c>
      <c r="G637" s="4" t="str">
        <f>HYPERLINK("https://www.ncbi.nlm.nih.gov/nucleotide/XM_036723993.1?report=genbank&amp;log$=nucltop&amp;blast_rank=21&amp;RID=1CU9499F013","XM_036723993.1")</f>
        <v>XM_036723993.1</v>
      </c>
    </row>
    <row r="638" spans="1:7" x14ac:dyDescent="0.35">
      <c r="A638" t="s">
        <v>508</v>
      </c>
      <c r="B638">
        <v>47.8</v>
      </c>
      <c r="C638">
        <v>47.8</v>
      </c>
      <c r="D638" s="2">
        <v>0.32</v>
      </c>
      <c r="E638">
        <v>2.1000000000000001E-2</v>
      </c>
      <c r="F638">
        <v>42.42</v>
      </c>
      <c r="G638" t="str">
        <f>HYPERLINK("https://www.ncbi.nlm.nih.gov/nucleotide/CP048095.1?report=genbank&amp;log$=nucltop&amp;blast_rank=22&amp;RID=1CU9499F013","CP048095.1")</f>
        <v>CP048095.1</v>
      </c>
    </row>
    <row r="639" spans="1:7" x14ac:dyDescent="0.35">
      <c r="A639" t="s">
        <v>509</v>
      </c>
      <c r="B639">
        <v>47.8</v>
      </c>
      <c r="C639">
        <v>47.8</v>
      </c>
      <c r="D639" s="2">
        <v>0.32</v>
      </c>
      <c r="E639">
        <v>2.1000000000000001E-2</v>
      </c>
      <c r="F639">
        <v>42.42</v>
      </c>
      <c r="G639" t="str">
        <f>HYPERLINK("https://www.ncbi.nlm.nih.gov/nucleotide/CP047910.1?report=genbank&amp;log$=nucltop&amp;blast_rank=23&amp;RID=1CU9499F013","CP047910.1")</f>
        <v>CP047910.1</v>
      </c>
    </row>
    <row r="640" spans="1:7" x14ac:dyDescent="0.35">
      <c r="A640" t="s">
        <v>510</v>
      </c>
      <c r="B640">
        <v>47.8</v>
      </c>
      <c r="C640">
        <v>47.8</v>
      </c>
      <c r="D640" s="2">
        <v>0.32</v>
      </c>
      <c r="E640">
        <v>2.1000000000000001E-2</v>
      </c>
      <c r="F640">
        <v>42.42</v>
      </c>
      <c r="G640" t="str">
        <f>HYPERLINK("https://www.ncbi.nlm.nih.gov/nucleotide/CP003828.1?report=genbank&amp;log$=nucltop&amp;blast_rank=24&amp;RID=1CU9499F013","CP003828.1")</f>
        <v>CP003828.1</v>
      </c>
    </row>
    <row r="641" spans="1:7" x14ac:dyDescent="0.35">
      <c r="A641" t="s">
        <v>511</v>
      </c>
      <c r="B641">
        <v>47.8</v>
      </c>
      <c r="C641">
        <v>47.8</v>
      </c>
      <c r="D641" s="2">
        <v>0.32</v>
      </c>
      <c r="E641">
        <v>2.1000000000000001E-2</v>
      </c>
      <c r="F641">
        <v>42.42</v>
      </c>
      <c r="G641" t="str">
        <f>HYPERLINK("https://www.ncbi.nlm.nih.gov/nucleotide/CP022329.1?report=genbank&amp;log$=nucltop&amp;blast_rank=25&amp;RID=1CU9499F013","CP022329.1")</f>
        <v>CP022329.1</v>
      </c>
    </row>
    <row r="642" spans="1:7" x14ac:dyDescent="0.35">
      <c r="A642" t="s">
        <v>512</v>
      </c>
      <c r="B642">
        <v>47.8</v>
      </c>
      <c r="C642">
        <v>47.8</v>
      </c>
      <c r="D642" s="2">
        <v>0.32</v>
      </c>
      <c r="E642">
        <v>2.1000000000000001E-2</v>
      </c>
      <c r="F642">
        <v>42.42</v>
      </c>
      <c r="G642" t="str">
        <f>HYPERLINK("https://www.ncbi.nlm.nih.gov/nucleotide/CP025725.1?report=genbank&amp;log$=nucltop&amp;blast_rank=26&amp;RID=1CU9499F013","CP025725.1")</f>
        <v>CP025725.1</v>
      </c>
    </row>
    <row r="643" spans="1:7" x14ac:dyDescent="0.35">
      <c r="A643" t="s">
        <v>513</v>
      </c>
      <c r="B643">
        <v>47.8</v>
      </c>
      <c r="C643">
        <v>47.8</v>
      </c>
      <c r="D643" s="2">
        <v>0.32</v>
      </c>
      <c r="E643">
        <v>2.1000000000000001E-2</v>
      </c>
      <c r="F643">
        <v>42.42</v>
      </c>
      <c r="G643" t="str">
        <f>HYPERLINK("https://www.ncbi.nlm.nih.gov/nucleotide/CP048080.1?report=genbank&amp;log$=nucltop&amp;blast_rank=27&amp;RID=1CU9499F013","CP048080.1")</f>
        <v>CP048080.1</v>
      </c>
    </row>
    <row r="644" spans="1:7" x14ac:dyDescent="0.35">
      <c r="A644" s="4" t="s">
        <v>514</v>
      </c>
      <c r="B644" s="4">
        <v>53.5</v>
      </c>
      <c r="C644" s="4">
        <v>53.5</v>
      </c>
      <c r="D644" s="5">
        <v>0.33</v>
      </c>
      <c r="E644" s="6">
        <v>2.0000000000000001E-4</v>
      </c>
      <c r="F644" s="4">
        <v>42.03</v>
      </c>
      <c r="G644" s="4" t="str">
        <f>HYPERLINK("https://www.ncbi.nlm.nih.gov/nucleotide/XM_035473314.1?report=genbank&amp;log$=nucltop&amp;blast_rank=28&amp;RID=1CU9499F013","XM_035473314.1")</f>
        <v>XM_035473314.1</v>
      </c>
    </row>
    <row r="645" spans="1:7" x14ac:dyDescent="0.35">
      <c r="A645" t="s">
        <v>515</v>
      </c>
      <c r="B645">
        <v>56.6</v>
      </c>
      <c r="C645">
        <v>56.6</v>
      </c>
      <c r="D645" s="2">
        <v>0.37</v>
      </c>
      <c r="E645" s="3">
        <v>9.0000000000000002E-6</v>
      </c>
      <c r="F645">
        <v>41.56</v>
      </c>
      <c r="G645" t="str">
        <f>HYPERLINK("https://www.ncbi.nlm.nih.gov/nucleotide/XM_032005190.1?report=genbank&amp;log$=nucltop&amp;blast_rank=29&amp;RID=1CU9499F013","XM_032005190.1")</f>
        <v>XM_032005190.1</v>
      </c>
    </row>
    <row r="646" spans="1:7" x14ac:dyDescent="0.35">
      <c r="A646" t="s">
        <v>516</v>
      </c>
      <c r="B646">
        <v>56.6</v>
      </c>
      <c r="C646">
        <v>56.6</v>
      </c>
      <c r="D646" s="2">
        <v>0.37</v>
      </c>
      <c r="E646" s="3">
        <v>1.0000000000000001E-5</v>
      </c>
      <c r="F646">
        <v>41.56</v>
      </c>
      <c r="G646" t="str">
        <f>HYPERLINK("https://www.ncbi.nlm.nih.gov/nucleotide/XM_007001803.1?report=genbank&amp;log$=nucltop&amp;blast_rank=30&amp;RID=1CU9499F013","XM_007001803.1")</f>
        <v>XM_007001803.1</v>
      </c>
    </row>
    <row r="647" spans="1:7" x14ac:dyDescent="0.35">
      <c r="A647" t="s">
        <v>517</v>
      </c>
      <c r="B647">
        <v>47</v>
      </c>
      <c r="C647">
        <v>47</v>
      </c>
      <c r="D647" s="2">
        <v>0.31</v>
      </c>
      <c r="E647">
        <v>3.3000000000000002E-2</v>
      </c>
      <c r="F647">
        <v>41.54</v>
      </c>
      <c r="G647" t="str">
        <f>HYPERLINK("https://www.ncbi.nlm.nih.gov/nucleotide/LK023379.1?report=genbank&amp;log$=nucltop&amp;blast_rank=31&amp;RID=1CU9499F013","LK023379.1")</f>
        <v>LK023379.1</v>
      </c>
    </row>
    <row r="648" spans="1:7" x14ac:dyDescent="0.35">
      <c r="A648" t="s">
        <v>518</v>
      </c>
      <c r="B648">
        <v>47</v>
      </c>
      <c r="C648">
        <v>47</v>
      </c>
      <c r="D648" s="2">
        <v>0.31</v>
      </c>
      <c r="E648">
        <v>3.3000000000000002E-2</v>
      </c>
      <c r="F648">
        <v>41.54</v>
      </c>
      <c r="G648" t="str">
        <f>HYPERLINK("https://www.ncbi.nlm.nih.gov/nucleotide/CP031827.1?report=genbank&amp;log$=nucltop&amp;blast_rank=32&amp;RID=1CU9499F013","CP031827.1")</f>
        <v>CP031827.1</v>
      </c>
    </row>
    <row r="649" spans="1:7" x14ac:dyDescent="0.35">
      <c r="A649" t="s">
        <v>519</v>
      </c>
      <c r="B649">
        <v>48.5</v>
      </c>
      <c r="C649">
        <v>48.5</v>
      </c>
      <c r="D649" s="2">
        <v>0.33</v>
      </c>
      <c r="E649">
        <v>2E-3</v>
      </c>
      <c r="F649">
        <v>41.18</v>
      </c>
      <c r="G649" t="str">
        <f>HYPERLINK("https://www.ncbi.nlm.nih.gov/nucleotide/XM_029884616.1?report=genbank&amp;log$=nucltop&amp;blast_rank=33&amp;RID=1CU9499F013","XM_029884616.1")</f>
        <v>XM_029884616.1</v>
      </c>
    </row>
    <row r="650" spans="1:7" x14ac:dyDescent="0.35">
      <c r="A650" t="s">
        <v>520</v>
      </c>
      <c r="B650">
        <v>51.6</v>
      </c>
      <c r="C650">
        <v>51.6</v>
      </c>
      <c r="D650" s="2">
        <v>0.32</v>
      </c>
      <c r="E650" s="3">
        <v>5.0000000000000001E-4</v>
      </c>
      <c r="F650">
        <v>40.909999999999997</v>
      </c>
      <c r="G650" t="str">
        <f>HYPERLINK("https://www.ncbi.nlm.nih.gov/nucleotide/XM_009650122.1?report=genbank&amp;log$=nucltop&amp;blast_rank=34&amp;RID=1CU9499F013","XM_009650122.1")</f>
        <v>XM_009650122.1</v>
      </c>
    </row>
    <row r="651" spans="1:7" x14ac:dyDescent="0.35">
      <c r="A651" t="s">
        <v>521</v>
      </c>
      <c r="B651">
        <v>51.6</v>
      </c>
      <c r="C651">
        <v>51.6</v>
      </c>
      <c r="D651" s="2">
        <v>0.32</v>
      </c>
      <c r="E651" s="3">
        <v>5.0000000000000001E-4</v>
      </c>
      <c r="F651">
        <v>40.909999999999997</v>
      </c>
      <c r="G651" t="str">
        <f>HYPERLINK("https://www.ncbi.nlm.nih.gov/nucleotide/XM_028641600.1?report=genbank&amp;log$=nucltop&amp;blast_rank=35&amp;RID=1CU9499F013","XM_028641600.1")</f>
        <v>XM_028641600.1</v>
      </c>
    </row>
    <row r="652" spans="1:7" x14ac:dyDescent="0.35">
      <c r="A652" t="s">
        <v>522</v>
      </c>
      <c r="B652">
        <v>51.6</v>
      </c>
      <c r="C652">
        <v>51.6</v>
      </c>
      <c r="D652" s="2">
        <v>0.32</v>
      </c>
      <c r="E652" s="3">
        <v>5.0000000000000001E-4</v>
      </c>
      <c r="F652">
        <v>40.909999999999997</v>
      </c>
      <c r="G652" t="str">
        <f>HYPERLINK("https://www.ncbi.nlm.nih.gov/nucleotide/XM_003006008.1?report=genbank&amp;log$=nucltop&amp;blast_rank=36&amp;RID=1CU9499F013","XM_003006008.1")</f>
        <v>XM_003006008.1</v>
      </c>
    </row>
    <row r="653" spans="1:7" x14ac:dyDescent="0.35">
      <c r="A653" s="4" t="s">
        <v>523</v>
      </c>
      <c r="B653" s="4">
        <v>51.2</v>
      </c>
      <c r="C653" s="4">
        <v>51.2</v>
      </c>
      <c r="D653" s="5">
        <v>0.32</v>
      </c>
      <c r="E653" s="6">
        <v>6.9999999999999999E-4</v>
      </c>
      <c r="F653" s="4">
        <v>40.909999999999997</v>
      </c>
      <c r="G653" s="4" t="str">
        <f>HYPERLINK("https://www.ncbi.nlm.nih.gov/nucleotide/XM_037318596.1?report=genbank&amp;log$=nucltop&amp;blast_rank=37&amp;RID=1CU9499F013","XM_037318596.1")</f>
        <v>XM_037318596.1</v>
      </c>
    </row>
    <row r="654" spans="1:7" x14ac:dyDescent="0.35">
      <c r="A654" s="4" t="s">
        <v>524</v>
      </c>
      <c r="B654" s="4">
        <v>51.2</v>
      </c>
      <c r="C654" s="4">
        <v>51.2</v>
      </c>
      <c r="D654" s="5">
        <v>0.32</v>
      </c>
      <c r="E654" s="6">
        <v>6.9999999999999999E-4</v>
      </c>
      <c r="F654" s="4">
        <v>40.909999999999997</v>
      </c>
      <c r="G654" s="4" t="str">
        <f>HYPERLINK("https://www.ncbi.nlm.nih.gov/nucleotide/XM_036634474.1?report=genbank&amp;log$=nucltop&amp;blast_rank=38&amp;RID=1CU9499F013","XM_036634474.1")</f>
        <v>XM_036634474.1</v>
      </c>
    </row>
    <row r="655" spans="1:7" x14ac:dyDescent="0.35">
      <c r="A655" t="s">
        <v>525</v>
      </c>
      <c r="B655">
        <v>51.2</v>
      </c>
      <c r="C655">
        <v>51.2</v>
      </c>
      <c r="D655" s="2">
        <v>0.32</v>
      </c>
      <c r="E655" s="3">
        <v>8.0000000000000004E-4</v>
      </c>
      <c r="F655">
        <v>40.909999999999997</v>
      </c>
      <c r="G655" t="str">
        <f>HYPERLINK("https://www.ncbi.nlm.nih.gov/nucleotide/XM_032021123.1?report=genbank&amp;log$=nucltop&amp;blast_rank=39&amp;RID=1CU9499F013","XM_032021123.1")</f>
        <v>XM_032021123.1</v>
      </c>
    </row>
    <row r="656" spans="1:7" x14ac:dyDescent="0.35">
      <c r="A656" t="s">
        <v>250</v>
      </c>
      <c r="B656">
        <v>51.6</v>
      </c>
      <c r="C656">
        <v>51.6</v>
      </c>
      <c r="D656" s="2">
        <v>0.32</v>
      </c>
      <c r="E656">
        <v>1E-3</v>
      </c>
      <c r="F656">
        <v>40.909999999999997</v>
      </c>
      <c r="G656" t="str">
        <f>HYPERLINK("https://www.ncbi.nlm.nih.gov/nucleotide/CP010980.1?report=genbank&amp;log$=nucltop&amp;blast_rank=40&amp;RID=1CU9499F013","CP010980.1")</f>
        <v>CP010980.1</v>
      </c>
    </row>
    <row r="657" spans="1:7" x14ac:dyDescent="0.35">
      <c r="A657" t="s">
        <v>251</v>
      </c>
      <c r="B657">
        <v>51.6</v>
      </c>
      <c r="C657">
        <v>51.6</v>
      </c>
      <c r="D657" s="2">
        <v>0.32</v>
      </c>
      <c r="E657">
        <v>1E-3</v>
      </c>
      <c r="F657">
        <v>40.909999999999997</v>
      </c>
      <c r="G657" t="str">
        <f>HYPERLINK("https://www.ncbi.nlm.nih.gov/nucleotide/CP009075.1?report=genbank&amp;log$=nucltop&amp;blast_rank=41&amp;RID=1CU9499F013","CP009075.1")</f>
        <v>CP009075.1</v>
      </c>
    </row>
    <row r="658" spans="1:7" x14ac:dyDescent="0.35">
      <c r="A658" t="s">
        <v>526</v>
      </c>
      <c r="B658">
        <v>54.7</v>
      </c>
      <c r="C658">
        <v>54.7</v>
      </c>
      <c r="D658" s="2">
        <v>0.36</v>
      </c>
      <c r="E658" s="3">
        <v>4.0000000000000003E-5</v>
      </c>
      <c r="F658">
        <v>40.79</v>
      </c>
      <c r="G658" t="str">
        <f>HYPERLINK("https://www.ncbi.nlm.nih.gov/nucleotide/XM_019194061.1?report=genbank&amp;log$=nucltop&amp;blast_rank=42&amp;RID=1CU9499F013","XM_019194061.1")</f>
        <v>XM_019194061.1</v>
      </c>
    </row>
    <row r="659" spans="1:7" x14ac:dyDescent="0.35">
      <c r="A659" s="4" t="s">
        <v>527</v>
      </c>
      <c r="B659" s="4">
        <v>110</v>
      </c>
      <c r="C659" s="4">
        <v>110</v>
      </c>
      <c r="D659" s="5">
        <v>0.9</v>
      </c>
      <c r="E659" s="6">
        <v>8.9999999999999998E-26</v>
      </c>
      <c r="F659" s="4">
        <v>40.74</v>
      </c>
      <c r="G659" s="4" t="str">
        <f>HYPERLINK("https://www.ncbi.nlm.nih.gov/nucleotide/XM_037362815.1?report=genbank&amp;log$=nucltop&amp;blast_rank=43&amp;RID=1CU9499F013","XM_037362815.1")</f>
        <v>XM_037362815.1</v>
      </c>
    </row>
    <row r="660" spans="1:7" x14ac:dyDescent="0.35">
      <c r="A660" t="s">
        <v>528</v>
      </c>
      <c r="B660">
        <v>48.9</v>
      </c>
      <c r="C660">
        <v>48.9</v>
      </c>
      <c r="D660" s="2">
        <v>0.34</v>
      </c>
      <c r="E660">
        <v>5.0000000000000001E-3</v>
      </c>
      <c r="F660">
        <v>40.28</v>
      </c>
      <c r="G660" t="str">
        <f>HYPERLINK("https://www.ncbi.nlm.nih.gov/nucleotide/XM_018422622.1?report=genbank&amp;log$=nucltop&amp;blast_rank=44&amp;RID=1CU9499F013","XM_018422622.1")</f>
        <v>XM_018422622.1</v>
      </c>
    </row>
    <row r="661" spans="1:7" x14ac:dyDescent="0.35">
      <c r="A661" t="s">
        <v>529</v>
      </c>
      <c r="B661">
        <v>55.8</v>
      </c>
      <c r="C661">
        <v>55.8</v>
      </c>
      <c r="D661" s="2">
        <v>0.37</v>
      </c>
      <c r="E661" s="3">
        <v>2.0000000000000002E-5</v>
      </c>
      <c r="F661">
        <v>40.26</v>
      </c>
      <c r="G661" t="str">
        <f>HYPERLINK("https://www.ncbi.nlm.nih.gov/nucleotide/XM_028618410.1?report=genbank&amp;log$=nucltop&amp;blast_rank=45&amp;RID=1CU9499F013","XM_028618410.1")</f>
        <v>XM_028618410.1</v>
      </c>
    </row>
    <row r="662" spans="1:7" x14ac:dyDescent="0.35">
      <c r="A662" t="s">
        <v>530</v>
      </c>
      <c r="B662">
        <v>48.1</v>
      </c>
      <c r="C662">
        <v>48.1</v>
      </c>
      <c r="D662" s="2">
        <v>0.37</v>
      </c>
      <c r="E662">
        <v>8.9999999999999993E-3</v>
      </c>
      <c r="F662">
        <v>40.26</v>
      </c>
      <c r="G662" t="str">
        <f>HYPERLINK("https://www.ncbi.nlm.nih.gov/nucleotide/XM_025504909.1?report=genbank&amp;log$=nucltop&amp;blast_rank=46&amp;RID=1CU9499F013","XM_025504909.1")</f>
        <v>XM_025504909.1</v>
      </c>
    </row>
    <row r="663" spans="1:7" x14ac:dyDescent="0.35">
      <c r="A663" t="s">
        <v>531</v>
      </c>
      <c r="B663">
        <v>110</v>
      </c>
      <c r="C663">
        <v>110</v>
      </c>
      <c r="D663" s="2">
        <v>0.84</v>
      </c>
      <c r="E663" s="3">
        <v>8.0000000000000003E-26</v>
      </c>
      <c r="F663">
        <v>39.47</v>
      </c>
      <c r="G663" t="str">
        <f>HYPERLINK("https://www.ncbi.nlm.nih.gov/nucleotide/XM_003026747.1?report=genbank&amp;log$=nucltop&amp;blast_rank=47&amp;RID=1CU9499F013","XM_003026747.1")</f>
        <v>XM_003026747.1</v>
      </c>
    </row>
    <row r="664" spans="1:7" x14ac:dyDescent="0.35">
      <c r="A664" t="s">
        <v>532</v>
      </c>
      <c r="B664">
        <v>53.5</v>
      </c>
      <c r="C664">
        <v>53.5</v>
      </c>
      <c r="D664" s="2">
        <v>0.36</v>
      </c>
      <c r="E664" s="3">
        <v>1E-4</v>
      </c>
      <c r="F664">
        <v>39.47</v>
      </c>
      <c r="G664" t="str">
        <f>HYPERLINK("https://www.ncbi.nlm.nih.gov/nucleotide/XM_031169085.1?report=genbank&amp;log$=nucltop&amp;blast_rank=48&amp;RID=1CU9499F013","XM_031169085.1")</f>
        <v>XM_031169085.1</v>
      </c>
    </row>
    <row r="665" spans="1:7" x14ac:dyDescent="0.35">
      <c r="A665" t="s">
        <v>326</v>
      </c>
      <c r="B665">
        <v>48.9</v>
      </c>
      <c r="C665">
        <v>48.9</v>
      </c>
      <c r="D665" s="2">
        <v>0.35</v>
      </c>
      <c r="E665">
        <v>5.0000000000000001E-3</v>
      </c>
      <c r="F665">
        <v>38.36</v>
      </c>
      <c r="G665" t="str">
        <f>HYPERLINK("https://www.ncbi.nlm.nih.gov/nucleotide/XM_014715723.1?report=genbank&amp;log$=nucltop&amp;blast_rank=49&amp;RID=1CU9499F013","XM_014715723.1")</f>
        <v>XM_014715723.1</v>
      </c>
    </row>
    <row r="666" spans="1:7" x14ac:dyDescent="0.35">
      <c r="A666" t="s">
        <v>533</v>
      </c>
      <c r="B666">
        <v>54.7</v>
      </c>
      <c r="C666">
        <v>54.7</v>
      </c>
      <c r="D666" s="2">
        <v>0.36</v>
      </c>
      <c r="E666" s="3">
        <v>6.0000000000000002E-5</v>
      </c>
      <c r="F666">
        <v>38.159999999999997</v>
      </c>
      <c r="G666" t="str">
        <f>HYPERLINK("https://www.ncbi.nlm.nih.gov/nucleotide/XM_031996610.1?report=genbank&amp;log$=nucltop&amp;blast_rank=50&amp;RID=1CU9499F013","XM_031996610.1")</f>
        <v>XM_031996610.1</v>
      </c>
    </row>
    <row r="667" spans="1:7" x14ac:dyDescent="0.35">
      <c r="A667" t="s">
        <v>109</v>
      </c>
      <c r="B667">
        <v>91.3</v>
      </c>
      <c r="C667">
        <v>91.3</v>
      </c>
      <c r="D667" s="2">
        <v>0.9</v>
      </c>
      <c r="E667" s="3">
        <v>4.0000000000000003E-18</v>
      </c>
      <c r="F667">
        <v>37.44</v>
      </c>
      <c r="G667" t="str">
        <f>HYPERLINK("https://www.ncbi.nlm.nih.gov/nucleotide/XM_007871865.1?report=genbank&amp;log$=nucltop&amp;blast_rank=51&amp;RID=1CU9499F013","XM_007871865.1")</f>
        <v>XM_007871865.1</v>
      </c>
    </row>
    <row r="668" spans="1:7" x14ac:dyDescent="0.35">
      <c r="A668" t="s">
        <v>534</v>
      </c>
      <c r="B668">
        <v>96.7</v>
      </c>
      <c r="C668">
        <v>96.7</v>
      </c>
      <c r="D668" s="2">
        <v>0.81</v>
      </c>
      <c r="E668" s="3">
        <v>9.9999999999999995E-21</v>
      </c>
      <c r="F668">
        <v>37.32</v>
      </c>
      <c r="G668" t="str">
        <f>HYPERLINK("https://www.ncbi.nlm.nih.gov/nucleotide/XM_006456006.1?report=genbank&amp;log$=nucltop&amp;blast_rank=52&amp;RID=1CU9499F013","XM_006456006.1")</f>
        <v>XM_006456006.1</v>
      </c>
    </row>
    <row r="669" spans="1:7" x14ac:dyDescent="0.35">
      <c r="A669" t="s">
        <v>535</v>
      </c>
      <c r="B669">
        <v>50.4</v>
      </c>
      <c r="C669">
        <v>50.4</v>
      </c>
      <c r="D669" s="2">
        <v>0.35</v>
      </c>
      <c r="E669">
        <v>1E-3</v>
      </c>
      <c r="F669">
        <v>36.99</v>
      </c>
      <c r="G669" t="str">
        <f>HYPERLINK("https://www.ncbi.nlm.nih.gov/nucleotide/XM_014690294.1?report=genbank&amp;log$=nucltop&amp;blast_rank=53&amp;RID=1CU9499F013","XM_014690294.1")</f>
        <v>XM_014690294.1</v>
      </c>
    </row>
    <row r="670" spans="1:7" x14ac:dyDescent="0.35">
      <c r="A670" t="s">
        <v>536</v>
      </c>
      <c r="B670">
        <v>50.8</v>
      </c>
      <c r="C670">
        <v>50.8</v>
      </c>
      <c r="D670" s="2">
        <v>0.35</v>
      </c>
      <c r="E670">
        <v>2E-3</v>
      </c>
      <c r="F670">
        <v>36.99</v>
      </c>
      <c r="G670" t="str">
        <f>HYPERLINK("https://www.ncbi.nlm.nih.gov/nucleotide/CP058935.1?report=genbank&amp;log$=nucltop&amp;blast_rank=54&amp;RID=1CU9499F013","CP058935.1")</f>
        <v>CP058935.1</v>
      </c>
    </row>
    <row r="671" spans="1:7" x14ac:dyDescent="0.35">
      <c r="A671" t="s">
        <v>537</v>
      </c>
      <c r="B671">
        <v>50.1</v>
      </c>
      <c r="C671">
        <v>50.1</v>
      </c>
      <c r="D671" s="2">
        <v>0.35</v>
      </c>
      <c r="E671">
        <v>2E-3</v>
      </c>
      <c r="F671">
        <v>36.99</v>
      </c>
      <c r="G671" t="str">
        <f>HYPERLINK("https://www.ncbi.nlm.nih.gov/nucleotide/XM_003335641.1?report=genbank&amp;log$=nucltop&amp;blast_rank=55&amp;RID=1CU9499F013","XM_003335641.1")</f>
        <v>XM_003335641.1</v>
      </c>
    </row>
    <row r="672" spans="1:7" x14ac:dyDescent="0.35">
      <c r="A672" t="s">
        <v>538</v>
      </c>
      <c r="B672">
        <v>50.1</v>
      </c>
      <c r="C672">
        <v>50.1</v>
      </c>
      <c r="D672" s="2">
        <v>0.35</v>
      </c>
      <c r="E672">
        <v>2E-3</v>
      </c>
      <c r="F672">
        <v>36.99</v>
      </c>
      <c r="G672" t="str">
        <f>HYPERLINK("https://www.ncbi.nlm.nih.gov/nucleotide/XM_003338747.2?report=genbank&amp;log$=nucltop&amp;blast_rank=56&amp;RID=1CU9499F013","XM_003338747.2")</f>
        <v>XM_003338747.2</v>
      </c>
    </row>
    <row r="673" spans="1:7" x14ac:dyDescent="0.35">
      <c r="A673" t="s">
        <v>539</v>
      </c>
      <c r="B673">
        <v>49.3</v>
      </c>
      <c r="C673">
        <v>49.3</v>
      </c>
      <c r="D673" s="2">
        <v>0.35</v>
      </c>
      <c r="E673">
        <v>3.0000000000000001E-3</v>
      </c>
      <c r="F673">
        <v>36.99</v>
      </c>
      <c r="G673" t="str">
        <f>HYPERLINK("https://www.ncbi.nlm.nih.gov/nucleotide/XM_007820685.2?report=genbank&amp;log$=nucltop&amp;blast_rank=57&amp;RID=1CU9499F013","XM_007820685.2")</f>
        <v>XM_007820685.2</v>
      </c>
    </row>
    <row r="674" spans="1:7" x14ac:dyDescent="0.35">
      <c r="A674" t="s">
        <v>540</v>
      </c>
      <c r="B674">
        <v>46.6</v>
      </c>
      <c r="C674">
        <v>46.6</v>
      </c>
      <c r="D674" s="2">
        <v>0.35</v>
      </c>
      <c r="E674">
        <v>4.4999999999999998E-2</v>
      </c>
      <c r="F674">
        <v>36.99</v>
      </c>
      <c r="G674" t="str">
        <f>HYPERLINK("https://www.ncbi.nlm.nih.gov/nucleotide/CP031388.1?report=genbank&amp;log$=nucltop&amp;blast_rank=58&amp;RID=1CU9499F013","CP031388.1")</f>
        <v>CP031388.1</v>
      </c>
    </row>
    <row r="675" spans="1:7" x14ac:dyDescent="0.35">
      <c r="A675" t="s">
        <v>541</v>
      </c>
      <c r="B675">
        <v>96.3</v>
      </c>
      <c r="C675">
        <v>96.3</v>
      </c>
      <c r="D675" s="2">
        <v>0.81</v>
      </c>
      <c r="E675" s="3">
        <v>5.0000000000000004E-19</v>
      </c>
      <c r="F675">
        <v>36.79</v>
      </c>
      <c r="G675" t="str">
        <f>HYPERLINK("https://www.ncbi.nlm.nih.gov/nucleotide/XM_007331837.1?report=genbank&amp;log$=nucltop&amp;blast_rank=59&amp;RID=1CU9499F013","XM_007331837.1")</f>
        <v>XM_007331837.1</v>
      </c>
    </row>
    <row r="676" spans="1:7" x14ac:dyDescent="0.35">
      <c r="A676" t="s">
        <v>542</v>
      </c>
      <c r="B676">
        <v>98.6</v>
      </c>
      <c r="C676">
        <v>98.6</v>
      </c>
      <c r="D676" s="2">
        <v>0.88</v>
      </c>
      <c r="E676" s="3">
        <v>7.9999999999999993E-21</v>
      </c>
      <c r="F676">
        <v>35.92</v>
      </c>
      <c r="G676" t="str">
        <f>HYPERLINK("https://www.ncbi.nlm.nih.gov/nucleotide/XM_001889471.1?report=genbank&amp;log$=nucltop&amp;blast_rank=60&amp;RID=1CU9499F013","XM_001889471.1")</f>
        <v>XM_001889471.1</v>
      </c>
    </row>
    <row r="677" spans="1:7" x14ac:dyDescent="0.35">
      <c r="A677" t="s">
        <v>543</v>
      </c>
      <c r="B677">
        <v>94</v>
      </c>
      <c r="C677">
        <v>94</v>
      </c>
      <c r="D677" s="2">
        <v>0.85</v>
      </c>
      <c r="E677" s="3">
        <v>9.9999999999999998E-20</v>
      </c>
      <c r="F677">
        <v>35.9</v>
      </c>
      <c r="G677" t="str">
        <f>HYPERLINK("https://www.ncbi.nlm.nih.gov/nucleotide/XM_036771613.1?report=genbank&amp;log$=nucltop&amp;blast_rank=61&amp;RID=1CU9499F013","XM_036771613.1")</f>
        <v>XM_036771613.1</v>
      </c>
    </row>
    <row r="678" spans="1:7" x14ac:dyDescent="0.35">
      <c r="A678" t="s">
        <v>544</v>
      </c>
      <c r="B678">
        <v>90.9</v>
      </c>
      <c r="C678">
        <v>90.9</v>
      </c>
      <c r="D678" s="2">
        <v>0.85</v>
      </c>
      <c r="E678" s="3">
        <v>5.0000000000000004E-18</v>
      </c>
      <c r="F678">
        <v>35.85</v>
      </c>
      <c r="G678" t="str">
        <f>HYPERLINK("https://www.ncbi.nlm.nih.gov/nucleotide/XM_007387247.1?report=genbank&amp;log$=nucltop&amp;blast_rank=62&amp;RID=1CU9499F013","XM_007387247.1")</f>
        <v>XM_007387247.1</v>
      </c>
    </row>
    <row r="679" spans="1:7" x14ac:dyDescent="0.35">
      <c r="A679" s="4" t="s">
        <v>545</v>
      </c>
      <c r="B679" s="4">
        <v>48.5</v>
      </c>
      <c r="C679" s="4">
        <v>48.5</v>
      </c>
      <c r="D679" s="5">
        <v>0.35</v>
      </c>
      <c r="E679" s="4">
        <v>6.0000000000000001E-3</v>
      </c>
      <c r="F679" s="4">
        <v>35.619999999999997</v>
      </c>
      <c r="G679" s="4" t="str">
        <f>HYPERLINK("https://www.ncbi.nlm.nih.gov/nucleotide/XM_007816901.1?report=genbank&amp;log$=nucltop&amp;blast_rank=63&amp;RID=1CU9499F013","XM_007816901.1")</f>
        <v>XM_007816901.1</v>
      </c>
    </row>
    <row r="680" spans="1:7" x14ac:dyDescent="0.35">
      <c r="A680" t="s">
        <v>546</v>
      </c>
      <c r="B680">
        <v>56.6</v>
      </c>
      <c r="C680">
        <v>56.6</v>
      </c>
      <c r="D680" s="2">
        <v>0.39</v>
      </c>
      <c r="E680" s="3">
        <v>1.0000000000000001E-5</v>
      </c>
      <c r="F680">
        <v>35.369999999999997</v>
      </c>
      <c r="G680" t="str">
        <f>HYPERLINK("https://www.ncbi.nlm.nih.gov/nucleotide/XM_018878767.1?report=genbank&amp;log$=nucltop&amp;blast_rank=64&amp;RID=1CU9499F013","XM_018878767.1")</f>
        <v>XM_018878767.1</v>
      </c>
    </row>
    <row r="681" spans="1:7" x14ac:dyDescent="0.35">
      <c r="A681" t="s">
        <v>547</v>
      </c>
      <c r="B681">
        <v>56.2</v>
      </c>
      <c r="C681">
        <v>56.2</v>
      </c>
      <c r="D681" s="2">
        <v>0.39</v>
      </c>
      <c r="E681" s="3">
        <v>3.0000000000000001E-5</v>
      </c>
      <c r="F681">
        <v>35.369999999999997</v>
      </c>
      <c r="G681" t="str">
        <f>HYPERLINK("https://www.ncbi.nlm.nih.gov/nucleotide/CP014501.1?report=genbank&amp;log$=nucltop&amp;blast_rank=65&amp;RID=1CU9499F013","CP014501.1")</f>
        <v>CP014501.1</v>
      </c>
    </row>
    <row r="682" spans="1:7" x14ac:dyDescent="0.35">
      <c r="A682" t="s">
        <v>548</v>
      </c>
      <c r="B682">
        <v>80.900000000000006</v>
      </c>
      <c r="C682">
        <v>80.900000000000006</v>
      </c>
      <c r="D682" s="2">
        <v>0.9</v>
      </c>
      <c r="E682" s="3">
        <v>8.9999999999999995E-15</v>
      </c>
      <c r="F682">
        <v>35.32</v>
      </c>
      <c r="G682" t="str">
        <f>HYPERLINK("https://www.ncbi.nlm.nih.gov/nucleotide/LR724312.1?report=genbank&amp;log$=nucltop&amp;blast_rank=66&amp;RID=1CU9499F013","LR724312.1")</f>
        <v>LR724312.1</v>
      </c>
    </row>
    <row r="683" spans="1:7" x14ac:dyDescent="0.35">
      <c r="A683" t="s">
        <v>549</v>
      </c>
      <c r="B683">
        <v>94.7</v>
      </c>
      <c r="C683">
        <v>94.7</v>
      </c>
      <c r="D683" s="2">
        <v>0.9</v>
      </c>
      <c r="E683" s="3">
        <v>7.0000000000000001E-20</v>
      </c>
      <c r="F683">
        <v>35.11</v>
      </c>
      <c r="G683" t="str">
        <f>HYPERLINK("https://www.ncbi.nlm.nih.gov/nucleotide/XM_007363302.1?report=genbank&amp;log$=nucltop&amp;blast_rank=67&amp;RID=1CU9499F013","XM_007363302.1")</f>
        <v>XM_007363302.1</v>
      </c>
    </row>
    <row r="684" spans="1:7" x14ac:dyDescent="0.35">
      <c r="A684" t="s">
        <v>204</v>
      </c>
      <c r="B684">
        <v>100</v>
      </c>
      <c r="C684">
        <v>100</v>
      </c>
      <c r="D684" s="2">
        <v>1</v>
      </c>
      <c r="E684" s="3">
        <v>9.9999999999999991E-22</v>
      </c>
      <c r="F684">
        <v>35</v>
      </c>
      <c r="G684" t="str">
        <f>HYPERLINK("https://www.ncbi.nlm.nih.gov/nucleotide/XM_008043238.1?report=genbank&amp;log$=nucltop&amp;blast_rank=68&amp;RID=1CU9499F013","XM_008043238.1")</f>
        <v>XM_008043238.1</v>
      </c>
    </row>
    <row r="685" spans="1:7" x14ac:dyDescent="0.35">
      <c r="A685" t="s">
        <v>550</v>
      </c>
      <c r="B685">
        <v>103</v>
      </c>
      <c r="C685">
        <v>103</v>
      </c>
      <c r="D685" s="2">
        <v>1</v>
      </c>
      <c r="E685" s="3">
        <v>6.0000000000000001E-23</v>
      </c>
      <c r="F685">
        <v>34.409999999999997</v>
      </c>
      <c r="G685" t="str">
        <f>HYPERLINK("https://www.ncbi.nlm.nih.gov/nucleotide/XM_024488823.1?report=genbank&amp;log$=nucltop&amp;blast_rank=69&amp;RID=1CU9499F013","XM_024488823.1")</f>
        <v>XM_024488823.1</v>
      </c>
    </row>
    <row r="686" spans="1:7" x14ac:dyDescent="0.35">
      <c r="A686" t="s">
        <v>551</v>
      </c>
      <c r="B686">
        <v>48.5</v>
      </c>
      <c r="C686">
        <v>48.5</v>
      </c>
      <c r="D686" s="2">
        <v>0.36</v>
      </c>
      <c r="E686">
        <v>7.0000000000000001E-3</v>
      </c>
      <c r="F686">
        <v>34.21</v>
      </c>
      <c r="G686" t="str">
        <f>HYPERLINK("https://www.ncbi.nlm.nih.gov/nucleotide/XM_019170232.1?report=genbank&amp;log$=nucltop&amp;blast_rank=70&amp;RID=1CU9499F013","XM_019170232.1")</f>
        <v>XM_019170232.1</v>
      </c>
    </row>
    <row r="687" spans="1:7" x14ac:dyDescent="0.35">
      <c r="A687" t="s">
        <v>120</v>
      </c>
      <c r="B687">
        <v>102</v>
      </c>
      <c r="C687">
        <v>102</v>
      </c>
      <c r="D687" s="2">
        <v>1</v>
      </c>
      <c r="E687" s="3">
        <v>6.0000000000000001E-23</v>
      </c>
      <c r="F687">
        <v>34.15</v>
      </c>
      <c r="G687" t="str">
        <f>HYPERLINK("https://www.ncbi.nlm.nih.gov/nucleotide/XM_012328251.1?report=genbank&amp;log$=nucltop&amp;blast_rank=71&amp;RID=1CU9499F013","XM_012328251.1")</f>
        <v>XM_012328251.1</v>
      </c>
    </row>
    <row r="688" spans="1:7" x14ac:dyDescent="0.35">
      <c r="A688" t="s">
        <v>552</v>
      </c>
      <c r="B688">
        <v>88.2</v>
      </c>
      <c r="C688">
        <v>88.2</v>
      </c>
      <c r="D688" s="2">
        <v>0.85</v>
      </c>
      <c r="E688" s="3">
        <v>9.9999999999999998E-17</v>
      </c>
      <c r="F688">
        <v>33.65</v>
      </c>
      <c r="G688" t="str">
        <f>HYPERLINK("https://www.ncbi.nlm.nih.gov/nucleotide/XM_007307010.1?report=genbank&amp;log$=nucltop&amp;blast_rank=72&amp;RID=1CU9499F013","XM_007307010.1")</f>
        <v>XM_007307010.1</v>
      </c>
    </row>
    <row r="689" spans="1:7" x14ac:dyDescent="0.35">
      <c r="A689" t="s">
        <v>553</v>
      </c>
      <c r="B689">
        <v>88.6</v>
      </c>
      <c r="C689">
        <v>88.6</v>
      </c>
      <c r="D689" s="2">
        <v>1</v>
      </c>
      <c r="E689" s="3">
        <v>2.0000000000000001E-17</v>
      </c>
      <c r="F689">
        <v>33.33</v>
      </c>
      <c r="G689" t="str">
        <f>HYPERLINK("https://www.ncbi.nlm.nih.gov/nucleotide/XM_027759404.1?report=genbank&amp;log$=nucltop&amp;blast_rank=73&amp;RID=1CU9499F013","XM_027759404.1")</f>
        <v>XM_027759404.1</v>
      </c>
    </row>
    <row r="690" spans="1:7" x14ac:dyDescent="0.35">
      <c r="A690" t="s">
        <v>554</v>
      </c>
      <c r="B690">
        <v>64.3</v>
      </c>
      <c r="C690">
        <v>64.3</v>
      </c>
      <c r="D690" s="2">
        <v>0.73</v>
      </c>
      <c r="E690" s="3">
        <v>1E-8</v>
      </c>
      <c r="F690">
        <v>32.770000000000003</v>
      </c>
      <c r="G690" t="str">
        <f>HYPERLINK("https://www.ncbi.nlm.nih.gov/nucleotide/XM_039054122.1?report=genbank&amp;log$=nucltop&amp;blast_rank=74&amp;RID=1CU9499F013","XM_039054122.1")</f>
        <v>XM_039054122.1</v>
      </c>
    </row>
    <row r="691" spans="1:7" x14ac:dyDescent="0.35">
      <c r="A691" t="s">
        <v>555</v>
      </c>
      <c r="B691">
        <v>92.4</v>
      </c>
      <c r="C691">
        <v>92.4</v>
      </c>
      <c r="D691" s="2">
        <v>0.9</v>
      </c>
      <c r="E691" s="3">
        <v>2.9999999999999998E-18</v>
      </c>
      <c r="F691">
        <v>32.47</v>
      </c>
      <c r="G691" t="str">
        <f>HYPERLINK("https://www.ncbi.nlm.nih.gov/nucleotide/XM_009554598.1?report=genbank&amp;log$=nucltop&amp;blast_rank=75&amp;RID=1CU9499F013","XM_009554598.1")</f>
        <v>XM_009554598.1</v>
      </c>
    </row>
    <row r="692" spans="1:7" x14ac:dyDescent="0.35">
      <c r="A692" t="s">
        <v>556</v>
      </c>
      <c r="B692">
        <v>95.5</v>
      </c>
      <c r="C692">
        <v>95.5</v>
      </c>
      <c r="D692" s="2">
        <v>0.9</v>
      </c>
      <c r="E692" s="3">
        <v>3.9999999999999999E-19</v>
      </c>
      <c r="F692">
        <v>32.22</v>
      </c>
      <c r="G692" t="str">
        <f>HYPERLINK("https://www.ncbi.nlm.nih.gov/nucleotide/XM_007323234.1?report=genbank&amp;log$=nucltop&amp;blast_rank=76&amp;RID=1CU9499F013","XM_007323234.1")</f>
        <v>XM_007323234.1</v>
      </c>
    </row>
    <row r="693" spans="1:7" x14ac:dyDescent="0.35">
      <c r="A693" t="s">
        <v>557</v>
      </c>
      <c r="B693">
        <v>47.4</v>
      </c>
      <c r="C693">
        <v>47.4</v>
      </c>
      <c r="D693" s="2">
        <v>0.36</v>
      </c>
      <c r="E693">
        <v>1.2999999999999999E-2</v>
      </c>
      <c r="F693">
        <v>32</v>
      </c>
      <c r="G693" t="str">
        <f>HYPERLINK("https://www.ncbi.nlm.nih.gov/nucleotide/XM_002676712.1?report=genbank&amp;log$=nucltop&amp;blast_rank=77&amp;RID=1CU9499F013","XM_002676712.1")</f>
        <v>XM_002676712.1</v>
      </c>
    </row>
    <row r="694" spans="1:7" x14ac:dyDescent="0.35">
      <c r="A694" t="s">
        <v>558</v>
      </c>
      <c r="B694">
        <v>79</v>
      </c>
      <c r="C694">
        <v>79</v>
      </c>
      <c r="D694" s="2">
        <v>0.9</v>
      </c>
      <c r="E694" s="3">
        <v>5.9999999999999997E-14</v>
      </c>
      <c r="F694">
        <v>31.2</v>
      </c>
      <c r="G694" t="str">
        <f>HYPERLINK("https://www.ncbi.nlm.nih.gov/nucleotide/XM_007261781.1?report=genbank&amp;log$=nucltop&amp;blast_rank=78&amp;RID=1CU9499F013","XM_007261781.1")</f>
        <v>XM_007261781.1</v>
      </c>
    </row>
    <row r="695" spans="1:7" x14ac:dyDescent="0.35">
      <c r="A695" t="s">
        <v>559</v>
      </c>
      <c r="B695">
        <v>65.5</v>
      </c>
      <c r="C695">
        <v>65.5</v>
      </c>
      <c r="D695" s="2">
        <v>0.77</v>
      </c>
      <c r="E695" s="3">
        <v>2E-8</v>
      </c>
      <c r="F695">
        <v>30.05</v>
      </c>
      <c r="G695" t="str">
        <f>HYPERLINK("https://www.ncbi.nlm.nih.gov/nucleotide/XM_022025918.1?report=genbank&amp;log$=nucltop&amp;blast_rank=79&amp;RID=1CU9499F013","XM_022025918.1")</f>
        <v>XM_022025918.1</v>
      </c>
    </row>
    <row r="696" spans="1:7" x14ac:dyDescent="0.35">
      <c r="A696" s="4" t="s">
        <v>560</v>
      </c>
      <c r="B696" s="4">
        <v>52</v>
      </c>
      <c r="C696" s="4">
        <v>52</v>
      </c>
      <c r="D696" s="5">
        <v>0.73</v>
      </c>
      <c r="E696" s="6">
        <v>2.9999999999999997E-4</v>
      </c>
      <c r="F696" s="4">
        <v>28.65</v>
      </c>
      <c r="G696" s="4" t="str">
        <f>HYPERLINK("https://www.ncbi.nlm.nih.gov/nucleotide/XM_016417724.1?report=genbank&amp;log$=nucltop&amp;blast_rank=80&amp;RID=1CU9499F013","XM_016417724.1")</f>
        <v>XM_016417724.1</v>
      </c>
    </row>
    <row r="697" spans="1:7" x14ac:dyDescent="0.35">
      <c r="A697" t="s">
        <v>561</v>
      </c>
      <c r="B697">
        <v>68.900000000000006</v>
      </c>
      <c r="C697">
        <v>68.900000000000006</v>
      </c>
      <c r="D697" s="2">
        <v>0.9</v>
      </c>
      <c r="E697" s="3">
        <v>8.9999999999999999E-10</v>
      </c>
      <c r="F697">
        <v>28.51</v>
      </c>
      <c r="G697" t="str">
        <f>HYPERLINK("https://www.ncbi.nlm.nih.gov/nucleotide/XM_007397925.1?report=genbank&amp;log$=nucltop&amp;blast_rank=81&amp;RID=1CU9499F013","XM_007397925.1")</f>
        <v>XM_007397925.1</v>
      </c>
    </row>
    <row r="698" spans="1:7" x14ac:dyDescent="0.35">
      <c r="A698" s="1" t="s">
        <v>562</v>
      </c>
    </row>
    <row r="699" spans="1:7" x14ac:dyDescent="0.35">
      <c r="A699" s="1" t="s">
        <v>2</v>
      </c>
      <c r="B699" s="1" t="s">
        <v>3</v>
      </c>
      <c r="C699" s="1" t="s">
        <v>4</v>
      </c>
      <c r="D699" s="1" t="s">
        <v>5</v>
      </c>
      <c r="E699" s="1" t="s">
        <v>6</v>
      </c>
      <c r="F699" s="1" t="s">
        <v>7</v>
      </c>
      <c r="G699" s="1" t="s">
        <v>8</v>
      </c>
    </row>
    <row r="700" spans="1:7" x14ac:dyDescent="0.35">
      <c r="A700" s="4" t="s">
        <v>563</v>
      </c>
      <c r="B700" s="4">
        <v>232</v>
      </c>
      <c r="C700" s="4">
        <v>232</v>
      </c>
      <c r="D700" s="5">
        <v>0.9</v>
      </c>
      <c r="E700" s="6">
        <v>7.9999999999999997E-72</v>
      </c>
      <c r="F700" s="4">
        <v>67.819999999999993</v>
      </c>
      <c r="G700" s="4" t="str">
        <f>HYPERLINK("https://www.ncbi.nlm.nih.gov/nucleotide/XM_007382807.1?report=genbank&amp;log$=nucltop&amp;blast_rank=1&amp;RID=1CUAJJ4P013","XM_007382807.1")</f>
        <v>XM_007382807.1</v>
      </c>
    </row>
    <row r="701" spans="1:7" x14ac:dyDescent="0.35">
      <c r="A701" s="4" t="s">
        <v>564</v>
      </c>
      <c r="B701" s="4">
        <v>226</v>
      </c>
      <c r="C701" s="4">
        <v>226</v>
      </c>
      <c r="D701" s="5">
        <v>0.9</v>
      </c>
      <c r="E701" s="6">
        <v>9.0000000000000004E-72</v>
      </c>
      <c r="F701" s="4">
        <v>67.430000000000007</v>
      </c>
      <c r="G701" s="4" t="str">
        <f>HYPERLINK("https://www.ncbi.nlm.nih.gov/nucleotide/AB378504.1?report=genbank&amp;log$=nucltop&amp;blast_rank=2&amp;RID=1CUAJJ4P013","AB378504.1")</f>
        <v>AB378504.1</v>
      </c>
    </row>
    <row r="702" spans="1:7" x14ac:dyDescent="0.35">
      <c r="A702" s="4" t="s">
        <v>565</v>
      </c>
      <c r="B702" s="4">
        <v>222</v>
      </c>
      <c r="C702" s="4">
        <v>222</v>
      </c>
      <c r="D702" s="5">
        <v>0.9</v>
      </c>
      <c r="E702" s="6">
        <v>9.9999999999999996E-70</v>
      </c>
      <c r="F702" s="4">
        <v>66.86</v>
      </c>
      <c r="G702" s="4" t="str">
        <f>HYPERLINK("https://www.ncbi.nlm.nih.gov/nucleotide/AB508815.1?report=genbank&amp;log$=nucltop&amp;blast_rank=3&amp;RID=1CUAJJ4P013","AB508815.1")</f>
        <v>AB508815.1</v>
      </c>
    </row>
    <row r="703" spans="1:7" x14ac:dyDescent="0.35">
      <c r="A703" s="4" t="s">
        <v>566</v>
      </c>
      <c r="B703" s="4">
        <v>222</v>
      </c>
      <c r="C703" s="4">
        <v>222</v>
      </c>
      <c r="D703" s="5">
        <v>0.9</v>
      </c>
      <c r="E703" s="6">
        <v>1.9999999999999999E-69</v>
      </c>
      <c r="F703" s="4">
        <v>66.86</v>
      </c>
      <c r="G703" s="4" t="str">
        <f>HYPERLINK("https://www.ncbi.nlm.nih.gov/nucleotide/MF872580.1?report=genbank&amp;log$=nucltop&amp;blast_rank=4&amp;RID=1CUAJJ4P013","MF872580.1")</f>
        <v>MF872580.1</v>
      </c>
    </row>
    <row r="704" spans="1:7" x14ac:dyDescent="0.35">
      <c r="A704" s="4" t="s">
        <v>567</v>
      </c>
      <c r="B704" s="4">
        <v>225</v>
      </c>
      <c r="C704" s="4">
        <v>225</v>
      </c>
      <c r="D704" s="5">
        <v>0.9</v>
      </c>
      <c r="E704" s="6">
        <v>7.9999999999999993E-71</v>
      </c>
      <c r="F704" s="4">
        <v>65.52</v>
      </c>
      <c r="G704" s="4" t="str">
        <f>HYPERLINK("https://www.ncbi.nlm.nih.gov/nucleotide/XM_007867111.1?report=genbank&amp;log$=nucltop&amp;blast_rank=5&amp;RID=1CUAJJ4P013","XM_007867111.1")</f>
        <v>XM_007867111.1</v>
      </c>
    </row>
    <row r="705" spans="1:7" x14ac:dyDescent="0.35">
      <c r="A705" s="4" t="s">
        <v>568</v>
      </c>
      <c r="B705" s="4">
        <v>220</v>
      </c>
      <c r="C705" s="4">
        <v>220</v>
      </c>
      <c r="D705" s="5">
        <v>0.9</v>
      </c>
      <c r="E705" s="6">
        <v>9.9999999999999996E-70</v>
      </c>
      <c r="F705" s="4">
        <v>65.14</v>
      </c>
      <c r="G705" s="4" t="str">
        <f>HYPERLINK("https://www.ncbi.nlm.nih.gov/nucleotide/XM_007396846.1?report=genbank&amp;log$=nucltop&amp;blast_rank=6&amp;RID=1CUAJJ4P013","XM_007396846.1")</f>
        <v>XM_007396846.1</v>
      </c>
    </row>
    <row r="706" spans="1:7" x14ac:dyDescent="0.35">
      <c r="A706" s="4" t="s">
        <v>569</v>
      </c>
      <c r="B706" s="4">
        <v>213</v>
      </c>
      <c r="C706" s="4">
        <v>213</v>
      </c>
      <c r="D706" s="5">
        <v>0.9</v>
      </c>
      <c r="E706" s="6">
        <v>3.9999999999999999E-66</v>
      </c>
      <c r="F706" s="4">
        <v>64.2</v>
      </c>
      <c r="G706" s="4" t="str">
        <f>HYPERLINK("https://www.ncbi.nlm.nih.gov/nucleotide/XM_007304416.1?report=genbank&amp;log$=nucltop&amp;blast_rank=7&amp;RID=1CUAJJ4P013","XM_007304416.1")</f>
        <v>XM_007304416.1</v>
      </c>
    </row>
    <row r="707" spans="1:7" x14ac:dyDescent="0.35">
      <c r="A707" s="4" t="s">
        <v>570</v>
      </c>
      <c r="B707" s="4">
        <v>219</v>
      </c>
      <c r="C707" s="4">
        <v>219</v>
      </c>
      <c r="D707" s="5">
        <v>0.9</v>
      </c>
      <c r="E707" s="6">
        <v>1.9999999999999999E-69</v>
      </c>
      <c r="F707" s="4">
        <v>63.22</v>
      </c>
      <c r="G707" s="4" t="str">
        <f>HYPERLINK("https://www.ncbi.nlm.nih.gov/nucleotide/XM_007368135.1?report=genbank&amp;log$=nucltop&amp;blast_rank=8&amp;RID=1CUAJJ4P013","XM_007368135.1")</f>
        <v>XM_007368135.1</v>
      </c>
    </row>
    <row r="708" spans="1:7" x14ac:dyDescent="0.35">
      <c r="A708" s="4" t="s">
        <v>571</v>
      </c>
      <c r="B708" s="4">
        <v>214</v>
      </c>
      <c r="C708" s="4">
        <v>214</v>
      </c>
      <c r="D708" s="5">
        <v>0.9</v>
      </c>
      <c r="E708" s="6">
        <v>6.0000000000000006E-67</v>
      </c>
      <c r="F708" s="4">
        <v>63.22</v>
      </c>
      <c r="G708" s="4" t="str">
        <f>HYPERLINK("https://www.ncbi.nlm.nih.gov/nucleotide/XM_008040541.1?report=genbank&amp;log$=nucltop&amp;blast_rank=9&amp;RID=1CUAJJ4P013","XM_008040541.1")</f>
        <v>XM_008040541.1</v>
      </c>
    </row>
    <row r="709" spans="1:7" x14ac:dyDescent="0.35">
      <c r="A709" s="4" t="s">
        <v>572</v>
      </c>
      <c r="B709" s="4">
        <v>214</v>
      </c>
      <c r="C709" s="4">
        <v>214</v>
      </c>
      <c r="D709" s="5">
        <v>0.9</v>
      </c>
      <c r="E709" s="6">
        <v>1.9999999999999999E-67</v>
      </c>
      <c r="F709" s="4">
        <v>62.64</v>
      </c>
      <c r="G709" s="4" t="str">
        <f>HYPERLINK("https://www.ncbi.nlm.nih.gov/nucleotide/XM_007261273.1?report=genbank&amp;log$=nucltop&amp;blast_rank=10&amp;RID=1CUAJJ4P013","XM_007261273.1")</f>
        <v>XM_007261273.1</v>
      </c>
    </row>
    <row r="710" spans="1:7" x14ac:dyDescent="0.35">
      <c r="A710" s="4" t="s">
        <v>573</v>
      </c>
      <c r="B710" s="4">
        <v>213</v>
      </c>
      <c r="C710" s="4">
        <v>213</v>
      </c>
      <c r="D710" s="5">
        <v>0.9</v>
      </c>
      <c r="E710" s="6">
        <v>3.9999999999999998E-67</v>
      </c>
      <c r="F710" s="4">
        <v>60.34</v>
      </c>
      <c r="G710" s="4" t="str">
        <f>HYPERLINK("https://www.ncbi.nlm.nih.gov/nucleotide/XM_007772338.1?report=genbank&amp;log$=nucltop&amp;blast_rank=11&amp;RID=1CUAJJ4P013","XM_007772338.1")</f>
        <v>XM_007772338.1</v>
      </c>
    </row>
    <row r="711" spans="1:7" x14ac:dyDescent="0.35">
      <c r="A711" t="s">
        <v>574</v>
      </c>
      <c r="B711">
        <v>78.2</v>
      </c>
      <c r="C711">
        <v>175</v>
      </c>
      <c r="D711" s="2">
        <v>0.78</v>
      </c>
      <c r="E711" s="3">
        <v>2.9999999999999998E-14</v>
      </c>
      <c r="F711">
        <v>59.7</v>
      </c>
      <c r="G711" t="str">
        <f>HYPERLINK("https://www.ncbi.nlm.nih.gov/nucleotide/LR732081.1?report=genbank&amp;log$=nucltop&amp;blast_rank=12&amp;RID=1CUAJJ4P013","LR732081.1")</f>
        <v>LR732081.1</v>
      </c>
    </row>
    <row r="712" spans="1:7" x14ac:dyDescent="0.35">
      <c r="A712" s="4" t="s">
        <v>575</v>
      </c>
      <c r="B712" s="4">
        <v>203</v>
      </c>
      <c r="C712" s="4">
        <v>203</v>
      </c>
      <c r="D712" s="5">
        <v>0.9</v>
      </c>
      <c r="E712" s="6">
        <v>7.0000000000000003E-62</v>
      </c>
      <c r="F712" s="4">
        <v>59.34</v>
      </c>
      <c r="G712" s="4" t="str">
        <f>HYPERLINK("https://www.ncbi.nlm.nih.gov/nucleotide/XM_037360141.1?report=genbank&amp;log$=nucltop&amp;blast_rank=13&amp;RID=1CUAJJ4P013","XM_037360141.1")</f>
        <v>XM_037360141.1</v>
      </c>
    </row>
    <row r="713" spans="1:7" x14ac:dyDescent="0.35">
      <c r="A713" s="4" t="s">
        <v>576</v>
      </c>
      <c r="B713" s="4">
        <v>170</v>
      </c>
      <c r="C713" s="4">
        <v>170</v>
      </c>
      <c r="D713" s="5">
        <v>0.75</v>
      </c>
      <c r="E713" s="6">
        <v>9.9999999999999994E-50</v>
      </c>
      <c r="F713" s="4">
        <v>58.45</v>
      </c>
      <c r="G713" s="4" t="str">
        <f>HYPERLINK("https://www.ncbi.nlm.nih.gov/nucleotide/XM_009550995.1?report=genbank&amp;log$=nucltop&amp;blast_rank=14&amp;RID=1CUAJJ4P013","XM_009550995.1")</f>
        <v>XM_009550995.1</v>
      </c>
    </row>
    <row r="714" spans="1:7" x14ac:dyDescent="0.35">
      <c r="A714" s="4" t="s">
        <v>577</v>
      </c>
      <c r="B714" s="4">
        <v>178</v>
      </c>
      <c r="C714" s="4">
        <v>178</v>
      </c>
      <c r="D714" s="5">
        <v>0.9</v>
      </c>
      <c r="E714" s="6">
        <v>4.0000000000000001E-53</v>
      </c>
      <c r="F714" s="4">
        <v>57.39</v>
      </c>
      <c r="G714" s="4" t="str">
        <f>HYPERLINK("https://www.ncbi.nlm.nih.gov/nucleotide/JF317687.1?report=genbank&amp;log$=nucltop&amp;blast_rank=15&amp;RID=1CUAJJ4P013","JF317687.1")</f>
        <v>JF317687.1</v>
      </c>
    </row>
    <row r="715" spans="1:7" x14ac:dyDescent="0.35">
      <c r="A715" s="4" t="s">
        <v>578</v>
      </c>
      <c r="B715" s="4">
        <v>49.7</v>
      </c>
      <c r="C715" s="4">
        <v>49.7</v>
      </c>
      <c r="D715" s="5">
        <v>0.2</v>
      </c>
      <c r="E715" s="4">
        <v>1E-3</v>
      </c>
      <c r="F715" s="4">
        <v>55.26</v>
      </c>
      <c r="G715" s="4" t="str">
        <f>HYPERLINK("https://www.ncbi.nlm.nih.gov/nucleotide/XM_024830164.1?report=genbank&amp;log$=nucltop&amp;blast_rank=16&amp;RID=1CUAJJ4P013","XM_024830164.1")</f>
        <v>XM_024830164.1</v>
      </c>
    </row>
    <row r="716" spans="1:7" x14ac:dyDescent="0.35">
      <c r="A716" t="s">
        <v>37</v>
      </c>
      <c r="B716">
        <v>130</v>
      </c>
      <c r="C716">
        <v>200</v>
      </c>
      <c r="D716" s="2">
        <v>1</v>
      </c>
      <c r="E716" s="3">
        <v>7.0000000000000004E-42</v>
      </c>
      <c r="F716">
        <v>53.9</v>
      </c>
      <c r="G716" t="str">
        <f>HYPERLINK("https://www.ncbi.nlm.nih.gov/nucleotide/LR732085.1?report=genbank&amp;log$=nucltop&amp;blast_rank=17&amp;RID=1CUAJJ4P013","LR732085.1")</f>
        <v>LR732085.1</v>
      </c>
    </row>
    <row r="717" spans="1:7" x14ac:dyDescent="0.35">
      <c r="A717" t="s">
        <v>579</v>
      </c>
      <c r="B717">
        <v>164</v>
      </c>
      <c r="C717">
        <v>164</v>
      </c>
      <c r="D717" s="2">
        <v>0.9</v>
      </c>
      <c r="E717" s="3">
        <v>2.9999999999999999E-48</v>
      </c>
      <c r="F717">
        <v>52.87</v>
      </c>
      <c r="G717" t="str">
        <f>HYPERLINK("https://www.ncbi.nlm.nih.gov/nucleotide/XM_006461891.1?report=genbank&amp;log$=nucltop&amp;blast_rank=18&amp;RID=1CUAJJ4P013","XM_006461891.1")</f>
        <v>XM_006461891.1</v>
      </c>
    </row>
    <row r="718" spans="1:7" x14ac:dyDescent="0.35">
      <c r="A718" t="s">
        <v>580</v>
      </c>
      <c r="B718">
        <v>164</v>
      </c>
      <c r="C718">
        <v>164</v>
      </c>
      <c r="D718" s="2">
        <v>0.9</v>
      </c>
      <c r="E718" s="3">
        <v>2.9999999999999999E-48</v>
      </c>
      <c r="F718">
        <v>52.87</v>
      </c>
      <c r="G718" t="str">
        <f>HYPERLINK("https://www.ncbi.nlm.nih.gov/nucleotide/XM_007327576.1?report=genbank&amp;log$=nucltop&amp;blast_rank=19&amp;RID=1CUAJJ4P013","XM_007327576.1")</f>
        <v>XM_007327576.1</v>
      </c>
    </row>
    <row r="719" spans="1:7" x14ac:dyDescent="0.35">
      <c r="A719" s="4" t="s">
        <v>581</v>
      </c>
      <c r="B719" s="4">
        <v>49.3</v>
      </c>
      <c r="C719" s="4">
        <v>49.3</v>
      </c>
      <c r="D719" s="5">
        <v>0.2</v>
      </c>
      <c r="E719" s="4">
        <v>2E-3</v>
      </c>
      <c r="F719" s="4">
        <v>52.63</v>
      </c>
      <c r="G719" s="4" t="str">
        <f>HYPERLINK("https://www.ncbi.nlm.nih.gov/nucleotide/XM_033562645.1?report=genbank&amp;log$=nucltop&amp;blast_rank=20&amp;RID=1CUAJJ4P013","XM_033562645.1")</f>
        <v>XM_033562645.1</v>
      </c>
    </row>
    <row r="720" spans="1:7" x14ac:dyDescent="0.35">
      <c r="A720" s="4" t="s">
        <v>582</v>
      </c>
      <c r="B720" s="4">
        <v>49.3</v>
      </c>
      <c r="C720" s="4">
        <v>49.3</v>
      </c>
      <c r="D720" s="5">
        <v>0.2</v>
      </c>
      <c r="E720" s="4">
        <v>2E-3</v>
      </c>
      <c r="F720" s="4">
        <v>52.63</v>
      </c>
      <c r="G720" s="4" t="str">
        <f>HYPERLINK("https://www.ncbi.nlm.nih.gov/nucleotide/XM_026755757.1?report=genbank&amp;log$=nucltop&amp;blast_rank=21&amp;RID=1CUAJJ4P013","XM_026755757.1")</f>
        <v>XM_026755757.1</v>
      </c>
    </row>
    <row r="721" spans="1:7" x14ac:dyDescent="0.35">
      <c r="A721" s="4" t="s">
        <v>583</v>
      </c>
      <c r="B721" s="4">
        <v>48.5</v>
      </c>
      <c r="C721" s="4">
        <v>48.5</v>
      </c>
      <c r="D721" s="5">
        <v>0.2</v>
      </c>
      <c r="E721" s="4">
        <v>3.0000000000000001E-3</v>
      </c>
      <c r="F721" s="4">
        <v>52.63</v>
      </c>
      <c r="G721" s="4" t="str">
        <f>HYPERLINK("https://www.ncbi.nlm.nih.gov/nucleotide/XM_001261624.1?report=genbank&amp;log$=nucltop&amp;blast_rank=22&amp;RID=1CUAJJ4P013","XM_001261624.1")</f>
        <v>XM_001261624.1</v>
      </c>
    </row>
    <row r="722" spans="1:7" x14ac:dyDescent="0.35">
      <c r="A722" s="4" t="s">
        <v>584</v>
      </c>
      <c r="B722" s="4">
        <v>48.9</v>
      </c>
      <c r="C722" s="4">
        <v>48.9</v>
      </c>
      <c r="D722" s="5">
        <v>0.2</v>
      </c>
      <c r="E722" s="4">
        <v>3.0000000000000001E-3</v>
      </c>
      <c r="F722" s="4">
        <v>52.63</v>
      </c>
      <c r="G722" s="4" t="str">
        <f>HYPERLINK("https://www.ncbi.nlm.nih.gov/nucleotide/XM_743744.1?report=genbank&amp;log$=nucltop&amp;blast_rank=23&amp;RID=1CUAJJ4P013","XM_743744.1")</f>
        <v>XM_743744.1</v>
      </c>
    </row>
    <row r="723" spans="1:7" x14ac:dyDescent="0.35">
      <c r="A723" s="4" t="s">
        <v>585</v>
      </c>
      <c r="B723" s="4">
        <v>48.5</v>
      </c>
      <c r="C723" s="4">
        <v>48.5</v>
      </c>
      <c r="D723" s="5">
        <v>0.2</v>
      </c>
      <c r="E723" s="4">
        <v>4.0000000000000001E-3</v>
      </c>
      <c r="F723" s="4">
        <v>52.63</v>
      </c>
      <c r="G723" s="4" t="str">
        <f>HYPERLINK("https://www.ncbi.nlm.nih.gov/nucleotide/XM_002484164.1?report=genbank&amp;log$=nucltop&amp;blast_rank=24&amp;RID=1CUAJJ4P013","XM_002484164.1")</f>
        <v>XM_002484164.1</v>
      </c>
    </row>
    <row r="724" spans="1:7" x14ac:dyDescent="0.35">
      <c r="A724" s="4" t="s">
        <v>586</v>
      </c>
      <c r="B724" s="4">
        <v>48.1</v>
      </c>
      <c r="C724" s="4">
        <v>48.1</v>
      </c>
      <c r="D724" s="5">
        <v>0.2</v>
      </c>
      <c r="E724" s="4">
        <v>5.0000000000000001E-3</v>
      </c>
      <c r="F724" s="4">
        <v>52.63</v>
      </c>
      <c r="G724" s="4" t="str">
        <f>HYPERLINK("https://www.ncbi.nlm.nih.gov/nucleotide/XM_002150023.1?report=genbank&amp;log$=nucltop&amp;blast_rank=25&amp;RID=1CUAJJ4P013","XM_002150023.1")</f>
        <v>XM_002150023.1</v>
      </c>
    </row>
    <row r="725" spans="1:7" x14ac:dyDescent="0.35">
      <c r="A725" t="s">
        <v>587</v>
      </c>
      <c r="B725">
        <v>48.9</v>
      </c>
      <c r="C725">
        <v>48.9</v>
      </c>
      <c r="D725" s="2">
        <v>0.2</v>
      </c>
      <c r="E725">
        <v>5.0000000000000001E-3</v>
      </c>
      <c r="F725">
        <v>52.63</v>
      </c>
      <c r="G725" t="str">
        <f>HYPERLINK("https://www.ncbi.nlm.nih.gov/nucleotide/CP066510.1?report=genbank&amp;log$=nucltop&amp;blast_rank=26&amp;RID=1CUAJJ4P013","CP066510.1")</f>
        <v>CP066510.1</v>
      </c>
    </row>
    <row r="726" spans="1:7" x14ac:dyDescent="0.35">
      <c r="A726" s="4" t="s">
        <v>588</v>
      </c>
      <c r="B726" s="4">
        <v>47.4</v>
      </c>
      <c r="C726" s="4">
        <v>47.4</v>
      </c>
      <c r="D726" s="5">
        <v>0.2</v>
      </c>
      <c r="E726" s="4">
        <v>8.9999999999999993E-3</v>
      </c>
      <c r="F726" s="4">
        <v>52.63</v>
      </c>
      <c r="G726" s="4" t="str">
        <f>HYPERLINK("https://www.ncbi.nlm.nih.gov/nucleotide/KF233752.1?report=genbank&amp;log$=nucltop&amp;blast_rank=27&amp;RID=1CUAJJ4P013","KF233752.1")</f>
        <v>KF233752.1</v>
      </c>
    </row>
    <row r="727" spans="1:7" x14ac:dyDescent="0.35">
      <c r="A727" t="s">
        <v>589</v>
      </c>
      <c r="B727">
        <v>47.8</v>
      </c>
      <c r="C727">
        <v>47.8</v>
      </c>
      <c r="D727" s="2">
        <v>0.2</v>
      </c>
      <c r="E727">
        <v>1.2E-2</v>
      </c>
      <c r="F727">
        <v>52.63</v>
      </c>
      <c r="G727" t="str">
        <f>HYPERLINK("https://www.ncbi.nlm.nih.gov/nucleotide/CP017347.1?report=genbank&amp;log$=nucltop&amp;blast_rank=28&amp;RID=1CUAJJ4P013","CP017347.1")</f>
        <v>CP017347.1</v>
      </c>
    </row>
    <row r="728" spans="1:7" x14ac:dyDescent="0.35">
      <c r="A728" t="s">
        <v>590</v>
      </c>
      <c r="B728">
        <v>47.8</v>
      </c>
      <c r="C728">
        <v>47.8</v>
      </c>
      <c r="D728" s="2">
        <v>0.2</v>
      </c>
      <c r="E728">
        <v>1.2E-2</v>
      </c>
      <c r="F728">
        <v>52.63</v>
      </c>
      <c r="G728" t="str">
        <f>HYPERLINK("https://www.ncbi.nlm.nih.gov/nucleotide/CP045658.1?report=genbank&amp;log$=nucltop&amp;blast_rank=29&amp;RID=1CUAJJ4P013","CP045658.1")</f>
        <v>CP045658.1</v>
      </c>
    </row>
    <row r="729" spans="1:7" x14ac:dyDescent="0.35">
      <c r="A729" t="s">
        <v>591</v>
      </c>
      <c r="B729">
        <v>47.8</v>
      </c>
      <c r="C729">
        <v>47.8</v>
      </c>
      <c r="D729" s="2">
        <v>0.2</v>
      </c>
      <c r="E729">
        <v>1.2E-2</v>
      </c>
      <c r="F729">
        <v>52.63</v>
      </c>
      <c r="G729" t="str">
        <f>HYPERLINK("https://www.ncbi.nlm.nih.gov/nucleotide/CP015872.1?report=genbank&amp;log$=nucltop&amp;blast_rank=30&amp;RID=1CUAJJ4P013","CP015872.1")</f>
        <v>CP015872.1</v>
      </c>
    </row>
    <row r="730" spans="1:7" x14ac:dyDescent="0.35">
      <c r="A730" s="4" t="s">
        <v>592</v>
      </c>
      <c r="B730" s="4">
        <v>47</v>
      </c>
      <c r="C730" s="4">
        <v>47</v>
      </c>
      <c r="D730" s="5">
        <v>0.2</v>
      </c>
      <c r="E730" s="4">
        <v>1.9E-2</v>
      </c>
      <c r="F730" s="4">
        <v>52.63</v>
      </c>
      <c r="G730" s="4" t="str">
        <f>HYPERLINK("https://www.ncbi.nlm.nih.gov/nucleotide/EU855738.1?report=genbank&amp;log$=nucltop&amp;blast_rank=31&amp;RID=1CUAJJ4P013","EU855738.1")</f>
        <v>EU855738.1</v>
      </c>
    </row>
    <row r="731" spans="1:7" x14ac:dyDescent="0.35">
      <c r="A731" t="s">
        <v>593</v>
      </c>
      <c r="B731">
        <v>47</v>
      </c>
      <c r="C731">
        <v>47</v>
      </c>
      <c r="D731" s="2">
        <v>0.2</v>
      </c>
      <c r="E731">
        <v>2.1000000000000001E-2</v>
      </c>
      <c r="F731">
        <v>52.63</v>
      </c>
      <c r="G731" t="str">
        <f>HYPERLINK("https://www.ncbi.nlm.nih.gov/nucleotide/CP064903.1?report=genbank&amp;log$=nucltop&amp;blast_rank=32&amp;RID=1CUAJJ4P013","CP064903.1")</f>
        <v>CP064903.1</v>
      </c>
    </row>
    <row r="732" spans="1:7" x14ac:dyDescent="0.35">
      <c r="A732" t="s">
        <v>594</v>
      </c>
      <c r="B732">
        <v>48.9</v>
      </c>
      <c r="C732">
        <v>48.9</v>
      </c>
      <c r="D732" s="2">
        <v>0.22</v>
      </c>
      <c r="E732">
        <v>1E-3</v>
      </c>
      <c r="F732">
        <v>50</v>
      </c>
      <c r="G732" t="str">
        <f>HYPERLINK("https://www.ncbi.nlm.nih.gov/nucleotide/XM_032047508.1?report=genbank&amp;log$=nucltop&amp;blast_rank=33&amp;RID=1CUAJJ4P013","XM_032047508.1")</f>
        <v>XM_032047508.1</v>
      </c>
    </row>
    <row r="733" spans="1:7" x14ac:dyDescent="0.35">
      <c r="A733" t="s">
        <v>595</v>
      </c>
      <c r="B733">
        <v>182</v>
      </c>
      <c r="C733">
        <v>182</v>
      </c>
      <c r="D733" s="2">
        <v>0.9</v>
      </c>
      <c r="E733" s="3">
        <v>1.9999999999999999E-49</v>
      </c>
      <c r="F733">
        <v>48</v>
      </c>
      <c r="G733" t="str">
        <f>HYPERLINK("https://www.ncbi.nlm.nih.gov/nucleotide/LR732076.1?report=genbank&amp;log$=nucltop&amp;blast_rank=34&amp;RID=1CUAJJ4P013","LR732076.1")</f>
        <v>LR732076.1</v>
      </c>
    </row>
    <row r="734" spans="1:7" x14ac:dyDescent="0.35">
      <c r="A734" t="s">
        <v>596</v>
      </c>
      <c r="B734">
        <v>45.8</v>
      </c>
      <c r="C734">
        <v>45.8</v>
      </c>
      <c r="D734" s="2">
        <v>0.2</v>
      </c>
      <c r="E734">
        <v>3.4000000000000002E-2</v>
      </c>
      <c r="F734">
        <v>47.37</v>
      </c>
      <c r="G734" t="str">
        <f>HYPERLINK("https://www.ncbi.nlm.nih.gov/nucleotide/XM_014317887.1?report=genbank&amp;log$=nucltop&amp;blast_rank=35&amp;RID=1CUAJJ4P013","XM_014317887.1")</f>
        <v>XM_014317887.1</v>
      </c>
    </row>
    <row r="735" spans="1:7" x14ac:dyDescent="0.35">
      <c r="A735" t="s">
        <v>597</v>
      </c>
      <c r="B735">
        <v>135</v>
      </c>
      <c r="C735">
        <v>173</v>
      </c>
      <c r="D735" s="2">
        <v>0.88</v>
      </c>
      <c r="E735" s="3">
        <v>5.0000000000000003E-34</v>
      </c>
      <c r="F735">
        <v>46.81</v>
      </c>
      <c r="G735" t="str">
        <f>HYPERLINK("https://www.ncbi.nlm.nih.gov/nucleotide/CP068000.1?report=genbank&amp;log$=nucltop&amp;blast_rank=36&amp;RID=1CUAJJ4P013","CP068000.1")</f>
        <v>CP068000.1</v>
      </c>
    </row>
    <row r="736" spans="1:7" x14ac:dyDescent="0.35">
      <c r="A736" t="s">
        <v>598</v>
      </c>
      <c r="B736">
        <v>45.8</v>
      </c>
      <c r="C736">
        <v>45.8</v>
      </c>
      <c r="D736" s="2">
        <v>0.22</v>
      </c>
      <c r="E736">
        <v>4.2000000000000003E-2</v>
      </c>
      <c r="F736">
        <v>45.24</v>
      </c>
      <c r="G736" t="str">
        <f>HYPERLINK("https://www.ncbi.nlm.nih.gov/nucleotide/XM_002483084.1?report=genbank&amp;log$=nucltop&amp;blast_rank=37&amp;RID=1CUAJJ4P013","XM_002483084.1")</f>
        <v>XM_002483084.1</v>
      </c>
    </row>
    <row r="737" spans="1:7" x14ac:dyDescent="0.35">
      <c r="A737" t="s">
        <v>599</v>
      </c>
      <c r="B737">
        <v>154</v>
      </c>
      <c r="C737">
        <v>154</v>
      </c>
      <c r="D737" s="2">
        <v>0.9</v>
      </c>
      <c r="E737" s="3">
        <v>1.9999999999999999E-39</v>
      </c>
      <c r="F737">
        <v>43.36</v>
      </c>
      <c r="G737" t="str">
        <f>HYPERLINK("https://www.ncbi.nlm.nih.gov/nucleotide/CP015462.1?report=genbank&amp;log$=nucltop&amp;blast_rank=38&amp;RID=1CUAJJ4P013","CP015462.1")</f>
        <v>CP015462.1</v>
      </c>
    </row>
    <row r="738" spans="1:7" x14ac:dyDescent="0.35">
      <c r="A738" t="s">
        <v>600</v>
      </c>
      <c r="B738">
        <v>154</v>
      </c>
      <c r="C738">
        <v>154</v>
      </c>
      <c r="D738" s="2">
        <v>0.9</v>
      </c>
      <c r="E738" s="3">
        <v>1.9999999999999999E-39</v>
      </c>
      <c r="F738">
        <v>43.36</v>
      </c>
      <c r="G738" t="str">
        <f>HYPERLINK("https://www.ncbi.nlm.nih.gov/nucleotide/CP039878.1?report=genbank&amp;log$=nucltop&amp;blast_rank=39&amp;RID=1CUAJJ4P013","CP039878.1")</f>
        <v>CP039878.1</v>
      </c>
    </row>
    <row r="739" spans="1:7" x14ac:dyDescent="0.35">
      <c r="A739" t="s">
        <v>601</v>
      </c>
      <c r="B739">
        <v>58.5</v>
      </c>
      <c r="C739">
        <v>58.5</v>
      </c>
      <c r="D739" s="2">
        <v>0.39</v>
      </c>
      <c r="E739" s="3">
        <v>1.9999999999999999E-6</v>
      </c>
      <c r="F739">
        <v>43.06</v>
      </c>
      <c r="G739" t="str">
        <f>HYPERLINK("https://www.ncbi.nlm.nih.gov/nucleotide/XM_013525843.1?report=genbank&amp;log$=nucltop&amp;blast_rank=40&amp;RID=1CUAJJ4P013","XM_013525843.1")</f>
        <v>XM_013525843.1</v>
      </c>
    </row>
    <row r="740" spans="1:7" x14ac:dyDescent="0.35">
      <c r="A740" t="s">
        <v>602</v>
      </c>
      <c r="B740">
        <v>102</v>
      </c>
      <c r="C740">
        <v>191</v>
      </c>
      <c r="D740" s="2">
        <v>0.9</v>
      </c>
      <c r="E740" s="3">
        <v>1.9999999999999999E-39</v>
      </c>
      <c r="F740">
        <v>41.96</v>
      </c>
      <c r="G740" t="str">
        <f>HYPERLINK("https://www.ncbi.nlm.nih.gov/nucleotide/CP015475.1?report=genbank&amp;log$=nucltop&amp;blast_rank=41&amp;RID=1CUAJJ4P013","CP015475.1")</f>
        <v>CP015475.1</v>
      </c>
    </row>
    <row r="741" spans="1:7" x14ac:dyDescent="0.35">
      <c r="A741" t="s">
        <v>603</v>
      </c>
      <c r="B741">
        <v>47.8</v>
      </c>
      <c r="C741">
        <v>47.8</v>
      </c>
      <c r="D741" s="2">
        <v>0.3</v>
      </c>
      <c r="E741">
        <v>0.01</v>
      </c>
      <c r="F741">
        <v>41.94</v>
      </c>
      <c r="G741" t="str">
        <f>HYPERLINK("https://www.ncbi.nlm.nih.gov/nucleotide/XM_020268649.1?report=genbank&amp;log$=nucltop&amp;blast_rank=42&amp;RID=1CUAJJ4P013","XM_020268649.1")</f>
        <v>XM_020268649.1</v>
      </c>
    </row>
    <row r="742" spans="1:7" x14ac:dyDescent="0.35">
      <c r="A742" t="s">
        <v>604</v>
      </c>
      <c r="B742">
        <v>49.3</v>
      </c>
      <c r="C742">
        <v>49.3</v>
      </c>
      <c r="D742" s="2">
        <v>0.35</v>
      </c>
      <c r="E742">
        <v>3.0000000000000001E-3</v>
      </c>
      <c r="F742">
        <v>41.54</v>
      </c>
      <c r="G742" t="str">
        <f>HYPERLINK("https://www.ncbi.nlm.nih.gov/nucleotide/XM_035484557.1?report=genbank&amp;log$=nucltop&amp;blast_rank=43&amp;RID=1CUAJJ4P013","XM_035484557.1")</f>
        <v>XM_035484557.1</v>
      </c>
    </row>
    <row r="743" spans="1:7" x14ac:dyDescent="0.35">
      <c r="A743" t="s">
        <v>102</v>
      </c>
      <c r="B743">
        <v>49.3</v>
      </c>
      <c r="C743">
        <v>49.3</v>
      </c>
      <c r="D743" s="2">
        <v>0.35</v>
      </c>
      <c r="E743">
        <v>4.0000000000000001E-3</v>
      </c>
      <c r="F743">
        <v>41.54</v>
      </c>
      <c r="G743" t="str">
        <f>HYPERLINK("https://www.ncbi.nlm.nih.gov/nucleotide/CP055898.1?report=genbank&amp;log$=nucltop&amp;blast_rank=44&amp;RID=1CUAJJ4P013","CP055898.1")</f>
        <v>CP055898.1</v>
      </c>
    </row>
    <row r="744" spans="1:7" x14ac:dyDescent="0.35">
      <c r="A744" t="s">
        <v>605</v>
      </c>
      <c r="B744">
        <v>46.6</v>
      </c>
      <c r="C744">
        <v>46.6</v>
      </c>
      <c r="D744" s="2">
        <v>0.35</v>
      </c>
      <c r="E744">
        <v>1.6E-2</v>
      </c>
      <c r="F744">
        <v>41.54</v>
      </c>
      <c r="G744" t="str">
        <f>HYPERLINK("https://www.ncbi.nlm.nih.gov/nucleotide/XM_659298.1?report=genbank&amp;log$=nucltop&amp;blast_rank=45&amp;RID=1CUAJJ4P013","XM_659298.1")</f>
        <v>XM_659298.1</v>
      </c>
    </row>
    <row r="745" spans="1:7" x14ac:dyDescent="0.35">
      <c r="A745" t="s">
        <v>606</v>
      </c>
      <c r="B745">
        <v>46.6</v>
      </c>
      <c r="C745">
        <v>46.6</v>
      </c>
      <c r="D745" s="2">
        <v>0.35</v>
      </c>
      <c r="E745">
        <v>2.1000000000000001E-2</v>
      </c>
      <c r="F745">
        <v>41.54</v>
      </c>
      <c r="G745" t="str">
        <f>HYPERLINK("https://www.ncbi.nlm.nih.gov/nucleotide/XM_026745922.1?report=genbank&amp;log$=nucltop&amp;blast_rank=46&amp;RID=1CUAJJ4P013","XM_026745922.1")</f>
        <v>XM_026745922.1</v>
      </c>
    </row>
    <row r="746" spans="1:7" x14ac:dyDescent="0.35">
      <c r="A746" t="s">
        <v>607</v>
      </c>
      <c r="B746">
        <v>46.6</v>
      </c>
      <c r="C746">
        <v>46.6</v>
      </c>
      <c r="D746" s="2">
        <v>0.35</v>
      </c>
      <c r="E746">
        <v>3.5000000000000003E-2</v>
      </c>
      <c r="F746">
        <v>41.54</v>
      </c>
      <c r="G746" t="str">
        <f>HYPERLINK("https://www.ncbi.nlm.nih.gov/nucleotide/BN001301.1?report=genbank&amp;log$=nucltop&amp;blast_rank=47&amp;RID=1CUAJJ4P013","BN001301.1")</f>
        <v>BN001301.1</v>
      </c>
    </row>
    <row r="747" spans="1:7" x14ac:dyDescent="0.35">
      <c r="A747" t="s">
        <v>608</v>
      </c>
      <c r="B747">
        <v>59.3</v>
      </c>
      <c r="C747">
        <v>59.3</v>
      </c>
      <c r="D747" s="2">
        <v>0.46</v>
      </c>
      <c r="E747" s="3">
        <v>5.9999999999999997E-7</v>
      </c>
      <c r="F747">
        <v>39.53</v>
      </c>
      <c r="G747" t="str">
        <f>HYPERLINK("https://www.ncbi.nlm.nih.gov/nucleotide/XM_018145729.1?report=genbank&amp;log$=nucltop&amp;blast_rank=48&amp;RID=1CUAJJ4P013","XM_018145729.1")</f>
        <v>XM_018145729.1</v>
      </c>
    </row>
    <row r="748" spans="1:7" x14ac:dyDescent="0.35">
      <c r="A748" t="s">
        <v>609</v>
      </c>
      <c r="B748">
        <v>94.4</v>
      </c>
      <c r="C748">
        <v>190</v>
      </c>
      <c r="D748" s="2">
        <v>0.88</v>
      </c>
      <c r="E748" s="3">
        <v>8.9999999999999998E-33</v>
      </c>
      <c r="F748">
        <v>39.35</v>
      </c>
      <c r="G748" t="str">
        <f>HYPERLINK("https://www.ncbi.nlm.nih.gov/nucleotide/AB508816.1?report=genbank&amp;log$=nucltop&amp;blast_rank=49&amp;RID=1CUAJJ4P013","AB508816.1")</f>
        <v>AB508816.1</v>
      </c>
    </row>
    <row r="749" spans="1:7" x14ac:dyDescent="0.35">
      <c r="A749" t="s">
        <v>610</v>
      </c>
      <c r="B749">
        <v>127</v>
      </c>
      <c r="C749">
        <v>127</v>
      </c>
      <c r="D749" s="2">
        <v>0.81</v>
      </c>
      <c r="E749" s="3">
        <v>2.0000000000000002E-30</v>
      </c>
      <c r="F749">
        <v>39.130000000000003</v>
      </c>
      <c r="G749" t="str">
        <f>HYPERLINK("https://www.ncbi.nlm.nih.gov/nucleotide/CP019381.1?report=genbank&amp;log$=nucltop&amp;blast_rank=50&amp;RID=1CUAJJ4P013","CP019381.1")</f>
        <v>CP019381.1</v>
      </c>
    </row>
    <row r="750" spans="1:7" x14ac:dyDescent="0.35">
      <c r="A750" t="s">
        <v>611</v>
      </c>
      <c r="B750">
        <v>46.6</v>
      </c>
      <c r="C750">
        <v>46.6</v>
      </c>
      <c r="D750" s="2">
        <v>0.35</v>
      </c>
      <c r="E750">
        <v>1.4E-2</v>
      </c>
      <c r="F750">
        <v>38.46</v>
      </c>
      <c r="G750" t="str">
        <f>HYPERLINK("https://www.ncbi.nlm.nih.gov/nucleotide/XM_018221897.1?report=genbank&amp;log$=nucltop&amp;blast_rank=51&amp;RID=1CUAJJ4P013","XM_018221897.1")</f>
        <v>XM_018221897.1</v>
      </c>
    </row>
    <row r="751" spans="1:7" x14ac:dyDescent="0.35">
      <c r="A751" t="s">
        <v>612</v>
      </c>
      <c r="B751">
        <v>64.7</v>
      </c>
      <c r="C751">
        <v>64.7</v>
      </c>
      <c r="D751" s="2">
        <v>0.75</v>
      </c>
      <c r="E751" s="3">
        <v>3E-9</v>
      </c>
      <c r="F751">
        <v>37.01</v>
      </c>
      <c r="G751" t="str">
        <f>HYPERLINK("https://www.ncbi.nlm.nih.gov/nucleotide/XM_013568610.1?report=genbank&amp;log$=nucltop&amp;blast_rank=52&amp;RID=1CUAJJ4P013","XM_013568610.1")</f>
        <v>XM_013568610.1</v>
      </c>
    </row>
    <row r="752" spans="1:7" x14ac:dyDescent="0.35">
      <c r="A752" t="s">
        <v>613</v>
      </c>
      <c r="B752">
        <v>45.8</v>
      </c>
      <c r="C752">
        <v>45.8</v>
      </c>
      <c r="D752" s="2">
        <v>0.45</v>
      </c>
      <c r="E752">
        <v>3.5999999999999997E-2</v>
      </c>
      <c r="F752">
        <v>35.96</v>
      </c>
      <c r="G752" t="str">
        <f>HYPERLINK("https://www.ncbi.nlm.nih.gov/nucleotide/XM_014097368.1?report=genbank&amp;log$=nucltop&amp;blast_rank=53&amp;RID=1CUAJJ4P013","XM_014097368.1")</f>
        <v>XM_014097368.1</v>
      </c>
    </row>
    <row r="753" spans="1:7" x14ac:dyDescent="0.35">
      <c r="A753" t="s">
        <v>164</v>
      </c>
      <c r="B753">
        <v>65.5</v>
      </c>
      <c r="C753">
        <v>65.5</v>
      </c>
      <c r="D753" s="2">
        <v>0.69</v>
      </c>
      <c r="E753" s="3">
        <v>1E-8</v>
      </c>
      <c r="F753">
        <v>35.659999999999997</v>
      </c>
      <c r="G753" t="str">
        <f>HYPERLINK("https://www.ncbi.nlm.nih.gov/nucleotide/XM_009160507.1?report=genbank&amp;log$=nucltop&amp;blast_rank=54&amp;RID=1CUAJJ4P013","XM_009160507.1")</f>
        <v>XM_009160507.1</v>
      </c>
    </row>
    <row r="754" spans="1:7" x14ac:dyDescent="0.35">
      <c r="A754" t="s">
        <v>614</v>
      </c>
      <c r="B754">
        <v>48.5</v>
      </c>
      <c r="C754">
        <v>48.5</v>
      </c>
      <c r="D754" s="2">
        <v>0.54</v>
      </c>
      <c r="E754">
        <v>4.0000000000000001E-3</v>
      </c>
      <c r="F754">
        <v>35.29</v>
      </c>
      <c r="G754" t="str">
        <f>HYPERLINK("https://www.ncbi.nlm.nih.gov/nucleotide/XM_024920487.1?report=genbank&amp;log$=nucltop&amp;blast_rank=55&amp;RID=1CUAJJ4P013","XM_024920487.1")</f>
        <v>XM_024920487.1</v>
      </c>
    </row>
    <row r="755" spans="1:7" x14ac:dyDescent="0.35">
      <c r="A755" t="s">
        <v>615</v>
      </c>
      <c r="B755">
        <v>69.3</v>
      </c>
      <c r="C755">
        <v>69.3</v>
      </c>
      <c r="D755" s="2">
        <v>0.74</v>
      </c>
      <c r="E755" s="3">
        <v>3E-11</v>
      </c>
      <c r="F755">
        <v>34.75</v>
      </c>
      <c r="G755" t="str">
        <f>HYPERLINK("https://www.ncbi.nlm.nih.gov/nucleotide/XM_019168695.1?report=genbank&amp;log$=nucltop&amp;blast_rank=56&amp;RID=1CUAJJ4P013","XM_019168695.1")</f>
        <v>XM_019168695.1</v>
      </c>
    </row>
    <row r="756" spans="1:7" x14ac:dyDescent="0.35">
      <c r="A756" t="s">
        <v>616</v>
      </c>
      <c r="B756">
        <v>49.7</v>
      </c>
      <c r="C756">
        <v>49.7</v>
      </c>
      <c r="D756" s="2">
        <v>0.48</v>
      </c>
      <c r="E756">
        <v>3.0000000000000001E-3</v>
      </c>
      <c r="F756">
        <v>34.74</v>
      </c>
      <c r="G756" t="str">
        <f>HYPERLINK("https://www.ncbi.nlm.nih.gov/nucleotide/CP036226.1?report=genbank&amp;log$=nucltop&amp;blast_rank=57&amp;RID=1CUAJJ4P013","CP036226.1")</f>
        <v>CP036226.1</v>
      </c>
    </row>
    <row r="757" spans="1:7" x14ac:dyDescent="0.35">
      <c r="A757" t="s">
        <v>617</v>
      </c>
      <c r="B757">
        <v>79.7</v>
      </c>
      <c r="C757">
        <v>79.7</v>
      </c>
      <c r="D757" s="2">
        <v>0.83</v>
      </c>
      <c r="E757" s="3">
        <v>2E-14</v>
      </c>
      <c r="F757">
        <v>34.68</v>
      </c>
      <c r="G757" t="str">
        <f>HYPERLINK("https://www.ncbi.nlm.nih.gov/nucleotide/XM_019169100.1?report=genbank&amp;log$=nucltop&amp;blast_rank=58&amp;RID=1CUAJJ4P013","XM_019169100.1")</f>
        <v>XM_019169100.1</v>
      </c>
    </row>
    <row r="758" spans="1:7" x14ac:dyDescent="0.35">
      <c r="A758" t="s">
        <v>618</v>
      </c>
      <c r="B758">
        <v>67.8</v>
      </c>
      <c r="C758">
        <v>67.8</v>
      </c>
      <c r="D758" s="2">
        <v>0.75</v>
      </c>
      <c r="E758" s="3">
        <v>6E-10</v>
      </c>
      <c r="F758">
        <v>34.64</v>
      </c>
      <c r="G758" t="str">
        <f>HYPERLINK("https://www.ncbi.nlm.nih.gov/nucleotide/XM_008726366.1?report=genbank&amp;log$=nucltop&amp;blast_rank=59&amp;RID=1CUAJJ4P013","XM_008726366.1")</f>
        <v>XM_008726366.1</v>
      </c>
    </row>
    <row r="759" spans="1:7" x14ac:dyDescent="0.35">
      <c r="A759" t="s">
        <v>619</v>
      </c>
      <c r="B759">
        <v>62</v>
      </c>
      <c r="C759">
        <v>62</v>
      </c>
      <c r="D759" s="2">
        <v>0.77</v>
      </c>
      <c r="E759" s="3">
        <v>5.9999999999999995E-8</v>
      </c>
      <c r="F759">
        <v>34.590000000000003</v>
      </c>
      <c r="G759" t="str">
        <f>HYPERLINK("https://www.ncbi.nlm.nih.gov/nucleotide/XM_029909166.1?report=genbank&amp;log$=nucltop&amp;blast_rank=60&amp;RID=1CUAJJ4P013","XM_029909166.1")</f>
        <v>XM_029909166.1</v>
      </c>
    </row>
    <row r="760" spans="1:7" x14ac:dyDescent="0.35">
      <c r="A760" t="s">
        <v>620</v>
      </c>
      <c r="B760">
        <v>53.9</v>
      </c>
      <c r="C760">
        <v>53.9</v>
      </c>
      <c r="D760" s="2">
        <v>0.69</v>
      </c>
      <c r="E760" s="3">
        <v>1E-4</v>
      </c>
      <c r="F760">
        <v>34.51</v>
      </c>
      <c r="G760" t="str">
        <f>HYPERLINK("https://www.ncbi.nlm.nih.gov/nucleotide/CP055902.1?report=genbank&amp;log$=nucltop&amp;blast_rank=61&amp;RID=1CUAJJ4P013","CP055902.1")</f>
        <v>CP055902.1</v>
      </c>
    </row>
    <row r="761" spans="1:7" x14ac:dyDescent="0.35">
      <c r="A761" t="s">
        <v>254</v>
      </c>
      <c r="B761">
        <v>62.8</v>
      </c>
      <c r="C761">
        <v>62.8</v>
      </c>
      <c r="D761" s="2">
        <v>0.69</v>
      </c>
      <c r="E761" s="3">
        <v>6.9999999999999998E-9</v>
      </c>
      <c r="F761">
        <v>34.29</v>
      </c>
      <c r="G761" t="str">
        <f>HYPERLINK("https://www.ncbi.nlm.nih.gov/nucleotide/XM_018274774.1?report=genbank&amp;log$=nucltop&amp;blast_rank=62&amp;RID=1CUAJJ4P013","XM_018274774.1")</f>
        <v>XM_018274774.1</v>
      </c>
    </row>
    <row r="762" spans="1:7" x14ac:dyDescent="0.35">
      <c r="A762" t="s">
        <v>252</v>
      </c>
      <c r="B762">
        <v>63.5</v>
      </c>
      <c r="C762">
        <v>63.5</v>
      </c>
      <c r="D762" s="2">
        <v>0.69</v>
      </c>
      <c r="E762" s="3">
        <v>4.0000000000000001E-8</v>
      </c>
      <c r="F762">
        <v>34.270000000000003</v>
      </c>
      <c r="G762" t="str">
        <f>HYPERLINK("https://www.ncbi.nlm.nih.gov/nucleotide/XM_018185011.1?report=genbank&amp;log$=nucltop&amp;blast_rank=63&amp;RID=1CUAJJ4P013","XM_018185011.1")</f>
        <v>XM_018185011.1</v>
      </c>
    </row>
    <row r="763" spans="1:7" x14ac:dyDescent="0.35">
      <c r="A763" t="s">
        <v>621</v>
      </c>
      <c r="B763">
        <v>67.8</v>
      </c>
      <c r="C763">
        <v>67.8</v>
      </c>
      <c r="D763" s="2">
        <v>0.75</v>
      </c>
      <c r="E763" s="3">
        <v>6.9999999999999996E-10</v>
      </c>
      <c r="F763">
        <v>33.99</v>
      </c>
      <c r="G763" t="str">
        <f>HYPERLINK("https://www.ncbi.nlm.nih.gov/nucleotide/XM_007758036.1?report=genbank&amp;log$=nucltop&amp;blast_rank=64&amp;RID=1CUAJJ4P013","XM_007758036.1")</f>
        <v>XM_007758036.1</v>
      </c>
    </row>
    <row r="764" spans="1:7" x14ac:dyDescent="0.35">
      <c r="A764" t="s">
        <v>622</v>
      </c>
      <c r="B764">
        <v>47</v>
      </c>
      <c r="C764">
        <v>47</v>
      </c>
      <c r="D764" s="2">
        <v>0.39</v>
      </c>
      <c r="E764">
        <v>0.02</v>
      </c>
      <c r="F764">
        <v>33.770000000000003</v>
      </c>
      <c r="G764" t="str">
        <f>HYPERLINK("https://www.ncbi.nlm.nih.gov/nucleotide/XM_025249284.1?report=genbank&amp;log$=nucltop&amp;blast_rank=65&amp;RID=1CUAJJ4P013","XM_025249284.1")</f>
        <v>XM_025249284.1</v>
      </c>
    </row>
    <row r="765" spans="1:7" x14ac:dyDescent="0.35">
      <c r="A765" t="s">
        <v>612</v>
      </c>
      <c r="B765">
        <v>58.2</v>
      </c>
      <c r="C765">
        <v>58.2</v>
      </c>
      <c r="D765" s="2">
        <v>0.69</v>
      </c>
      <c r="E765" s="3">
        <v>5.9999999999999997E-7</v>
      </c>
      <c r="F765">
        <v>33.57</v>
      </c>
      <c r="G765" t="str">
        <f>HYPERLINK("https://www.ncbi.nlm.nih.gov/nucleotide/XM_013568568.1?report=genbank&amp;log$=nucltop&amp;blast_rank=66&amp;RID=1CUAJJ4P013","XM_013568568.1")</f>
        <v>XM_013568568.1</v>
      </c>
    </row>
    <row r="766" spans="1:7" x14ac:dyDescent="0.35">
      <c r="A766" t="s">
        <v>623</v>
      </c>
      <c r="B766">
        <v>60.5</v>
      </c>
      <c r="C766">
        <v>60.5</v>
      </c>
      <c r="D766" s="2">
        <v>0.73</v>
      </c>
      <c r="E766" s="3">
        <v>9.9999999999999995E-8</v>
      </c>
      <c r="F766">
        <v>33.56</v>
      </c>
      <c r="G766" t="str">
        <f>HYPERLINK("https://www.ncbi.nlm.nih.gov/nucleotide/XM_020270009.1?report=genbank&amp;log$=nucltop&amp;blast_rank=67&amp;RID=1CUAJJ4P013","XM_020270009.1")</f>
        <v>XM_020270009.1</v>
      </c>
    </row>
    <row r="767" spans="1:7" x14ac:dyDescent="0.35">
      <c r="A767" t="s">
        <v>624</v>
      </c>
      <c r="B767">
        <v>60.1</v>
      </c>
      <c r="C767">
        <v>60.1</v>
      </c>
      <c r="D767" s="2">
        <v>0.75</v>
      </c>
      <c r="E767" s="3">
        <v>1.9999999999999999E-7</v>
      </c>
      <c r="F767">
        <v>33.549999999999997</v>
      </c>
      <c r="G767" t="str">
        <f>HYPERLINK("https://www.ncbi.nlm.nih.gov/nucleotide/XM_035512815.1?report=genbank&amp;log$=nucltop&amp;blast_rank=68&amp;RID=1CUAJJ4P013","XM_035512815.1")</f>
        <v>XM_035512815.1</v>
      </c>
    </row>
    <row r="768" spans="1:7" x14ac:dyDescent="0.35">
      <c r="A768" t="s">
        <v>625</v>
      </c>
      <c r="B768">
        <v>54.3</v>
      </c>
      <c r="C768">
        <v>54.3</v>
      </c>
      <c r="D768" s="2">
        <v>0.69</v>
      </c>
      <c r="E768" s="3">
        <v>1.0000000000000001E-5</v>
      </c>
      <c r="F768">
        <v>33.33</v>
      </c>
      <c r="G768" t="str">
        <f>HYPERLINK("https://www.ncbi.nlm.nih.gov/nucleotide/XM_035492496.1?report=genbank&amp;log$=nucltop&amp;blast_rank=69&amp;RID=1CUAJJ4P013","XM_035492496.1")</f>
        <v>XM_035492496.1</v>
      </c>
    </row>
    <row r="769" spans="1:7" x14ac:dyDescent="0.35">
      <c r="A769" t="s">
        <v>626</v>
      </c>
      <c r="B769">
        <v>58.9</v>
      </c>
      <c r="C769">
        <v>58.9</v>
      </c>
      <c r="D769" s="2">
        <v>0.73</v>
      </c>
      <c r="E769" s="3">
        <v>9.9999999999999995E-7</v>
      </c>
      <c r="F769">
        <v>33.119999999999997</v>
      </c>
      <c r="G769" t="str">
        <f>HYPERLINK("https://www.ncbi.nlm.nih.gov/nucleotide/XM_037304152.1?report=genbank&amp;log$=nucltop&amp;blast_rank=70&amp;RID=1CUAJJ4P013","XM_037304152.1")</f>
        <v>XM_037304152.1</v>
      </c>
    </row>
    <row r="770" spans="1:7" x14ac:dyDescent="0.35">
      <c r="A770" t="s">
        <v>627</v>
      </c>
      <c r="B770">
        <v>49.3</v>
      </c>
      <c r="C770">
        <v>49.3</v>
      </c>
      <c r="D770" s="2">
        <v>0.73</v>
      </c>
      <c r="E770">
        <v>1E-3</v>
      </c>
      <c r="F770">
        <v>32.69</v>
      </c>
      <c r="G770" t="str">
        <f>HYPERLINK("https://www.ncbi.nlm.nih.gov/nucleotide/XM_031151746.1?report=genbank&amp;log$=nucltop&amp;blast_rank=71&amp;RID=1CUAJJ4P013","XM_031151746.1")</f>
        <v>XM_031151746.1</v>
      </c>
    </row>
    <row r="771" spans="1:7" x14ac:dyDescent="0.35">
      <c r="A771" t="s">
        <v>628</v>
      </c>
      <c r="B771">
        <v>49.7</v>
      </c>
      <c r="C771">
        <v>49.7</v>
      </c>
      <c r="D771" s="2">
        <v>0.69</v>
      </c>
      <c r="E771" s="3">
        <v>5.9999999999999995E-4</v>
      </c>
      <c r="F771">
        <v>32.17</v>
      </c>
      <c r="G771" t="str">
        <f>HYPERLINK("https://www.ncbi.nlm.nih.gov/nucleotide/XM_013469976.1?report=genbank&amp;log$=nucltop&amp;blast_rank=72&amp;RID=1CUAJJ4P013","XM_013469976.1")</f>
        <v>XM_013469976.1</v>
      </c>
    </row>
    <row r="772" spans="1:7" x14ac:dyDescent="0.35">
      <c r="A772" t="s">
        <v>629</v>
      </c>
      <c r="B772">
        <v>52.4</v>
      </c>
      <c r="C772">
        <v>52.4</v>
      </c>
      <c r="D772" s="2">
        <v>0.8</v>
      </c>
      <c r="E772" s="3">
        <v>2.0000000000000001E-4</v>
      </c>
      <c r="F772">
        <v>31.95</v>
      </c>
      <c r="G772" t="str">
        <f>HYPERLINK("https://www.ncbi.nlm.nih.gov/nucleotide/XM_007317493.1?report=genbank&amp;log$=nucltop&amp;blast_rank=73&amp;RID=1CUAJJ4P013","XM_007317493.1")</f>
        <v>XM_007317493.1</v>
      </c>
    </row>
    <row r="773" spans="1:7" x14ac:dyDescent="0.35">
      <c r="A773" t="s">
        <v>630</v>
      </c>
      <c r="B773">
        <v>53.9</v>
      </c>
      <c r="C773">
        <v>53.9</v>
      </c>
      <c r="D773" s="2">
        <v>0.76</v>
      </c>
      <c r="E773" s="3">
        <v>4.0000000000000003E-5</v>
      </c>
      <c r="F773">
        <v>31.72</v>
      </c>
      <c r="G773" t="str">
        <f>HYPERLINK("https://www.ncbi.nlm.nih.gov/nucleotide/XM_037312413.1?report=genbank&amp;log$=nucltop&amp;blast_rank=74&amp;RID=1CUAJJ4P013","XM_037312413.1")</f>
        <v>XM_037312413.1</v>
      </c>
    </row>
    <row r="774" spans="1:7" x14ac:dyDescent="0.35">
      <c r="A774" t="s">
        <v>631</v>
      </c>
      <c r="B774">
        <v>54.7</v>
      </c>
      <c r="C774">
        <v>54.7</v>
      </c>
      <c r="D774" s="2">
        <v>0.76</v>
      </c>
      <c r="E774" s="3">
        <v>5.0000000000000002E-5</v>
      </c>
      <c r="F774">
        <v>31.72</v>
      </c>
      <c r="G774" t="str">
        <f>HYPERLINK("https://www.ncbi.nlm.nih.gov/nucleotide/XM_037293061.1?report=genbank&amp;log$=nucltop&amp;blast_rank=75&amp;RID=1CUAJJ4P013","XM_037293061.1")</f>
        <v>XM_037293061.1</v>
      </c>
    </row>
    <row r="775" spans="1:7" x14ac:dyDescent="0.35">
      <c r="A775" t="s">
        <v>632</v>
      </c>
      <c r="B775">
        <v>59.3</v>
      </c>
      <c r="C775">
        <v>59.3</v>
      </c>
      <c r="D775" s="2">
        <v>0.73</v>
      </c>
      <c r="E775" s="3">
        <v>8.9999999999999996E-7</v>
      </c>
      <c r="F775">
        <v>31.37</v>
      </c>
      <c r="G775" t="str">
        <f>HYPERLINK("https://www.ncbi.nlm.nih.gov/nucleotide/XM_037300507.1?report=genbank&amp;log$=nucltop&amp;blast_rank=76&amp;RID=1CUAJJ4P013","XM_037300507.1")</f>
        <v>XM_037300507.1</v>
      </c>
    </row>
    <row r="776" spans="1:7" x14ac:dyDescent="0.35">
      <c r="A776" t="s">
        <v>177</v>
      </c>
      <c r="B776">
        <v>45.8</v>
      </c>
      <c r="C776">
        <v>45.8</v>
      </c>
      <c r="D776" s="2">
        <v>0.8</v>
      </c>
      <c r="E776">
        <v>3.3000000000000002E-2</v>
      </c>
      <c r="F776">
        <v>31.1</v>
      </c>
      <c r="G776" t="str">
        <f>HYPERLINK("https://www.ncbi.nlm.nih.gov/nucleotide/XM_007768115.1?report=genbank&amp;log$=nucltop&amp;blast_rank=77&amp;RID=1CUAJJ4P013","XM_007768115.1")</f>
        <v>XM_007768115.1</v>
      </c>
    </row>
    <row r="777" spans="1:7" x14ac:dyDescent="0.35">
      <c r="A777" t="s">
        <v>633</v>
      </c>
      <c r="B777">
        <v>49.7</v>
      </c>
      <c r="C777">
        <v>49.7</v>
      </c>
      <c r="D777" s="2">
        <v>0.73</v>
      </c>
      <c r="E777">
        <v>2E-3</v>
      </c>
      <c r="F777">
        <v>30.19</v>
      </c>
      <c r="G777" t="str">
        <f>HYPERLINK("https://www.ncbi.nlm.nih.gov/nucleotide/XM_025520457.1?report=genbank&amp;log$=nucltop&amp;blast_rank=78&amp;RID=1CUAJJ4P013","XM_025520457.1")</f>
        <v>XM_025520457.1</v>
      </c>
    </row>
    <row r="778" spans="1:7" x14ac:dyDescent="0.35">
      <c r="A778" s="1" t="s">
        <v>634</v>
      </c>
    </row>
    <row r="779" spans="1:7" x14ac:dyDescent="0.35">
      <c r="A779" s="1" t="s">
        <v>2</v>
      </c>
      <c r="B779" s="1" t="s">
        <v>3</v>
      </c>
      <c r="C779" s="1" t="s">
        <v>4</v>
      </c>
      <c r="D779" s="1" t="s">
        <v>5</v>
      </c>
      <c r="E779" s="1" t="s">
        <v>6</v>
      </c>
      <c r="F779" s="1" t="s">
        <v>7</v>
      </c>
      <c r="G779" s="1" t="s">
        <v>8</v>
      </c>
    </row>
    <row r="780" spans="1:7" x14ac:dyDescent="0.35">
      <c r="A780" t="s">
        <v>635</v>
      </c>
      <c r="B780">
        <v>249</v>
      </c>
      <c r="C780">
        <v>249</v>
      </c>
      <c r="D780" s="2">
        <v>0.8</v>
      </c>
      <c r="E780" s="3">
        <v>3E-79</v>
      </c>
      <c r="F780">
        <v>64.319999999999993</v>
      </c>
      <c r="G780" t="str">
        <f>HYPERLINK("https://www.ncbi.nlm.nih.gov/nucleotide/XM_027759635.1?report=genbank&amp;log$=nucltop&amp;blast_rank=1&amp;RID=1CUCCVNH013","XM_027759635.1")</f>
        <v>XM_027759635.1</v>
      </c>
    </row>
    <row r="781" spans="1:7" x14ac:dyDescent="0.35">
      <c r="A781" t="s">
        <v>19</v>
      </c>
      <c r="B781">
        <v>243</v>
      </c>
      <c r="C781">
        <v>243</v>
      </c>
      <c r="D781" s="2">
        <v>0.62</v>
      </c>
      <c r="E781" s="3">
        <v>1E-78</v>
      </c>
      <c r="F781">
        <v>78.319999999999993</v>
      </c>
      <c r="G781" t="str">
        <f>HYPERLINK("https://www.ncbi.nlm.nih.gov/nucleotide/XM_001883016.1?report=genbank&amp;log$=nucltop&amp;blast_rank=2&amp;RID=1CUCCVNH013","XM_001883016.1")</f>
        <v>XM_001883016.1</v>
      </c>
    </row>
    <row r="782" spans="1:7" x14ac:dyDescent="0.35">
      <c r="A782" t="s">
        <v>636</v>
      </c>
      <c r="B782">
        <v>247</v>
      </c>
      <c r="C782">
        <v>247</v>
      </c>
      <c r="D782" s="2">
        <v>0.65</v>
      </c>
      <c r="E782" s="3">
        <v>9.9999999999999993E-78</v>
      </c>
      <c r="F782">
        <v>74.17</v>
      </c>
      <c r="G782" t="str">
        <f>HYPERLINK("https://www.ncbi.nlm.nih.gov/nucleotide/XM_007331503.1?report=genbank&amp;log$=nucltop&amp;blast_rank=3&amp;RID=1CUCCVNH013","XM_007331503.1")</f>
        <v>XM_007331503.1</v>
      </c>
    </row>
    <row r="783" spans="1:7" x14ac:dyDescent="0.35">
      <c r="A783" t="s">
        <v>198</v>
      </c>
      <c r="B783">
        <v>244</v>
      </c>
      <c r="C783">
        <v>244</v>
      </c>
      <c r="D783" s="2">
        <v>0.65</v>
      </c>
      <c r="E783" s="3">
        <v>9.0000000000000001E-77</v>
      </c>
      <c r="F783">
        <v>72.48</v>
      </c>
      <c r="G783" t="str">
        <f>HYPERLINK("https://www.ncbi.nlm.nih.gov/nucleotide/XM_007871867.1?report=genbank&amp;log$=nucltop&amp;blast_rank=4&amp;RID=1CUCCVNH013","XM_007871867.1")</f>
        <v>XM_007871867.1</v>
      </c>
    </row>
    <row r="784" spans="1:7" x14ac:dyDescent="0.35">
      <c r="A784" t="s">
        <v>120</v>
      </c>
      <c r="B784">
        <v>242</v>
      </c>
      <c r="C784">
        <v>242</v>
      </c>
      <c r="D784" s="2">
        <v>0.75</v>
      </c>
      <c r="E784" s="3">
        <v>9.9999999999999993E-77</v>
      </c>
      <c r="F784">
        <v>65.709999999999994</v>
      </c>
      <c r="G784" t="str">
        <f>HYPERLINK("https://www.ncbi.nlm.nih.gov/nucleotide/XM_012330422.1?report=genbank&amp;log$=nucltop&amp;blast_rank=5&amp;RID=1CUCCVNH013","XM_012330422.1")</f>
        <v>XM_012330422.1</v>
      </c>
    </row>
    <row r="785" spans="1:7" x14ac:dyDescent="0.35">
      <c r="A785" s="4" t="s">
        <v>637</v>
      </c>
      <c r="B785" s="4">
        <v>241</v>
      </c>
      <c r="C785" s="4">
        <v>241</v>
      </c>
      <c r="D785" s="5">
        <v>0.63</v>
      </c>
      <c r="E785" s="6">
        <v>1.9999999999999999E-76</v>
      </c>
      <c r="F785" s="4">
        <v>71.25</v>
      </c>
      <c r="G785" s="4" t="str">
        <f>HYPERLINK("https://www.ncbi.nlm.nih.gov/nucleotide/XM_037362762.1?report=genbank&amp;log$=nucltop&amp;blast_rank=6&amp;RID=1CUCCVNH013","XM_037362762.1")</f>
        <v>XM_037362762.1</v>
      </c>
    </row>
    <row r="786" spans="1:7" x14ac:dyDescent="0.35">
      <c r="A786" t="s">
        <v>638</v>
      </c>
      <c r="B786">
        <v>241</v>
      </c>
      <c r="C786">
        <v>241</v>
      </c>
      <c r="D786" s="2">
        <v>0.76</v>
      </c>
      <c r="E786" s="3">
        <v>3.0000000000000002E-76</v>
      </c>
      <c r="F786">
        <v>64.44</v>
      </c>
      <c r="G786" t="str">
        <f>HYPERLINK("https://www.ncbi.nlm.nih.gov/nucleotide/XM_036771546.1?report=genbank&amp;log$=nucltop&amp;blast_rank=7&amp;RID=1CUCCVNH013","XM_036771546.1")</f>
        <v>XM_036771546.1</v>
      </c>
    </row>
    <row r="787" spans="1:7" x14ac:dyDescent="0.35">
      <c r="A787" t="s">
        <v>639</v>
      </c>
      <c r="B787">
        <v>244</v>
      </c>
      <c r="C787">
        <v>244</v>
      </c>
      <c r="D787" s="2">
        <v>0.66</v>
      </c>
      <c r="E787" s="3">
        <v>3.0000000000000002E-76</v>
      </c>
      <c r="F787">
        <v>71.900000000000006</v>
      </c>
      <c r="G787" t="str">
        <f>HYPERLINK("https://www.ncbi.nlm.nih.gov/nucleotide/XM_007319931.1?report=genbank&amp;log$=nucltop&amp;blast_rank=8&amp;RID=1CUCCVNH013","XM_007319931.1")</f>
        <v>XM_007319931.1</v>
      </c>
    </row>
    <row r="788" spans="1:7" x14ac:dyDescent="0.35">
      <c r="A788" t="s">
        <v>21</v>
      </c>
      <c r="B788">
        <v>234</v>
      </c>
      <c r="C788">
        <v>234</v>
      </c>
      <c r="D788" s="2">
        <v>0.62</v>
      </c>
      <c r="E788" s="3">
        <v>3.9999999999999998E-75</v>
      </c>
      <c r="F788">
        <v>73.290000000000006</v>
      </c>
      <c r="G788" t="str">
        <f>HYPERLINK("https://www.ncbi.nlm.nih.gov/nucleotide/XM_009554521.1?report=genbank&amp;log$=nucltop&amp;blast_rank=9&amp;RID=1CUCCVNH013","XM_009554521.1")</f>
        <v>XM_009554521.1</v>
      </c>
    </row>
    <row r="789" spans="1:7" x14ac:dyDescent="0.35">
      <c r="A789" t="s">
        <v>640</v>
      </c>
      <c r="B789">
        <v>244</v>
      </c>
      <c r="C789">
        <v>244</v>
      </c>
      <c r="D789" s="2">
        <v>0.77</v>
      </c>
      <c r="E789" s="3">
        <v>3.9999999999999998E-75</v>
      </c>
      <c r="F789">
        <v>65.17</v>
      </c>
      <c r="G789" t="str">
        <f>HYPERLINK("https://www.ncbi.nlm.nih.gov/nucleotide/XM_007370223.1?report=genbank&amp;log$=nucltop&amp;blast_rank=10&amp;RID=1CUCCVNH013","XM_007370223.1")</f>
        <v>XM_007370223.1</v>
      </c>
    </row>
    <row r="790" spans="1:7" x14ac:dyDescent="0.35">
      <c r="A790" t="s">
        <v>641</v>
      </c>
      <c r="B790">
        <v>235</v>
      </c>
      <c r="C790">
        <v>235</v>
      </c>
      <c r="D790" s="2">
        <v>0.72</v>
      </c>
      <c r="E790" s="3">
        <v>1E-73</v>
      </c>
      <c r="F790">
        <v>65.27</v>
      </c>
      <c r="G790" t="str">
        <f>HYPERLINK("https://www.ncbi.nlm.nih.gov/nucleotide/XM_024482046.1?report=genbank&amp;log$=nucltop&amp;blast_rank=11&amp;RID=1CUCCVNH013","XM_024482046.1")</f>
        <v>XM_024482046.1</v>
      </c>
    </row>
    <row r="791" spans="1:7" x14ac:dyDescent="0.35">
      <c r="A791" t="s">
        <v>642</v>
      </c>
      <c r="B791">
        <v>239</v>
      </c>
      <c r="C791">
        <v>239</v>
      </c>
      <c r="D791" s="2">
        <v>0.87</v>
      </c>
      <c r="E791" s="3">
        <v>4.9999999999999998E-73</v>
      </c>
      <c r="F791">
        <v>55.51</v>
      </c>
      <c r="G791" t="str">
        <f>HYPERLINK("https://www.ncbi.nlm.nih.gov/nucleotide/XM_007397641.1?report=genbank&amp;log$=nucltop&amp;blast_rank=12&amp;RID=1CUCCVNH013","XM_007397641.1")</f>
        <v>XM_007397641.1</v>
      </c>
    </row>
    <row r="792" spans="1:7" x14ac:dyDescent="0.35">
      <c r="A792" t="s">
        <v>126</v>
      </c>
      <c r="B792">
        <v>236</v>
      </c>
      <c r="C792">
        <v>236</v>
      </c>
      <c r="D792" s="2">
        <v>0.66</v>
      </c>
      <c r="E792" s="3">
        <v>8E-73</v>
      </c>
      <c r="F792">
        <v>69.48</v>
      </c>
      <c r="G792" t="str">
        <f>HYPERLINK("https://www.ncbi.nlm.nih.gov/nucleotide/XM_007775845.1?report=genbank&amp;log$=nucltop&amp;blast_rank=13&amp;RID=1CUCCVNH013","XM_007775845.1")</f>
        <v>XM_007775845.1</v>
      </c>
    </row>
    <row r="793" spans="1:7" x14ac:dyDescent="0.35">
      <c r="A793" t="s">
        <v>643</v>
      </c>
      <c r="B793">
        <v>231</v>
      </c>
      <c r="C793">
        <v>231</v>
      </c>
      <c r="D793" s="2">
        <v>0.63</v>
      </c>
      <c r="E793" s="3">
        <v>3.9999999999999999E-72</v>
      </c>
      <c r="F793">
        <v>70.67</v>
      </c>
      <c r="G793" t="str">
        <f>HYPERLINK("https://www.ncbi.nlm.nih.gov/nucleotide/XM_006456081.1?report=genbank&amp;log$=nucltop&amp;blast_rank=14&amp;RID=1CUCCVNH013","XM_006456081.1")</f>
        <v>XM_006456081.1</v>
      </c>
    </row>
    <row r="794" spans="1:7" x14ac:dyDescent="0.35">
      <c r="A794" t="s">
        <v>644</v>
      </c>
      <c r="B794">
        <v>223</v>
      </c>
      <c r="C794">
        <v>223</v>
      </c>
      <c r="D794" s="2">
        <v>0.73</v>
      </c>
      <c r="E794" s="3">
        <v>7.0000000000000003E-69</v>
      </c>
      <c r="F794">
        <v>64.709999999999994</v>
      </c>
      <c r="G794" t="str">
        <f>HYPERLINK("https://www.ncbi.nlm.nih.gov/nucleotide/XM_003028301.1?report=genbank&amp;log$=nucltop&amp;blast_rank=15&amp;RID=1CUCCVNH013","XM_003028301.1")</f>
        <v>XM_003028301.1</v>
      </c>
    </row>
    <row r="795" spans="1:7" x14ac:dyDescent="0.35">
      <c r="A795" t="s">
        <v>645</v>
      </c>
      <c r="B795">
        <v>213</v>
      </c>
      <c r="C795">
        <v>213</v>
      </c>
      <c r="D795" s="2">
        <v>0.63</v>
      </c>
      <c r="E795" s="3">
        <v>6.0000000000000001E-64</v>
      </c>
      <c r="F795">
        <v>64.94</v>
      </c>
      <c r="G795" t="str">
        <f>HYPERLINK("https://www.ncbi.nlm.nih.gov/nucleotide/XM_007380545.1?report=genbank&amp;log$=nucltop&amp;blast_rank=16&amp;RID=1CUCCVNH013","XM_007380545.1")</f>
        <v>XM_007380545.1</v>
      </c>
    </row>
    <row r="796" spans="1:7" x14ac:dyDescent="0.35">
      <c r="A796" t="s">
        <v>646</v>
      </c>
      <c r="B796">
        <v>207</v>
      </c>
      <c r="C796">
        <v>207</v>
      </c>
      <c r="D796" s="2">
        <v>0.76</v>
      </c>
      <c r="E796" s="3">
        <v>2.0000000000000001E-62</v>
      </c>
      <c r="F796">
        <v>61.02</v>
      </c>
      <c r="G796" t="str">
        <f>HYPERLINK("https://www.ncbi.nlm.nih.gov/nucleotide/XM_007262411.1?report=genbank&amp;log$=nucltop&amp;blast_rank=17&amp;RID=1CUCCVNH013","XM_007262411.1")</f>
        <v>XM_007262411.1</v>
      </c>
    </row>
    <row r="797" spans="1:7" x14ac:dyDescent="0.35">
      <c r="A797" s="4" t="s">
        <v>647</v>
      </c>
      <c r="B797" s="4">
        <v>201</v>
      </c>
      <c r="C797" s="4">
        <v>201</v>
      </c>
      <c r="D797" s="5">
        <v>0.59</v>
      </c>
      <c r="E797" s="6">
        <v>1E-58</v>
      </c>
      <c r="F797" s="4">
        <v>65.94</v>
      </c>
      <c r="G797" s="4" t="str">
        <f>HYPERLINK("https://www.ncbi.nlm.nih.gov/nucleotide/XM_039055562.1?report=genbank&amp;log$=nucltop&amp;blast_rank=18&amp;RID=1CUCCVNH013","XM_039055562.1")</f>
        <v>XM_039055562.1</v>
      </c>
    </row>
    <row r="798" spans="1:7" x14ac:dyDescent="0.35">
      <c r="A798" t="s">
        <v>648</v>
      </c>
      <c r="B798">
        <v>203</v>
      </c>
      <c r="C798">
        <v>203</v>
      </c>
      <c r="D798" s="2">
        <v>0.63</v>
      </c>
      <c r="E798" s="3">
        <v>2.0000000000000001E-58</v>
      </c>
      <c r="F798">
        <v>53.85</v>
      </c>
      <c r="G798" t="str">
        <f>HYPERLINK("https://www.ncbi.nlm.nih.gov/nucleotide/XM_007306985.1?report=genbank&amp;log$=nucltop&amp;blast_rank=19&amp;RID=1CUCCVNH013","XM_007306985.1")</f>
        <v>XM_007306985.1</v>
      </c>
    </row>
    <row r="799" spans="1:7" x14ac:dyDescent="0.35">
      <c r="A799" t="s">
        <v>649</v>
      </c>
      <c r="B799">
        <v>195</v>
      </c>
      <c r="C799">
        <v>195</v>
      </c>
      <c r="D799" s="2">
        <v>0.65</v>
      </c>
      <c r="E799" s="3">
        <v>4.9999999999999998E-58</v>
      </c>
      <c r="F799">
        <v>57.24</v>
      </c>
      <c r="G799" t="str">
        <f>HYPERLINK("https://www.ncbi.nlm.nih.gov/nucleotide/XM_028616908.1?report=genbank&amp;log$=nucltop&amp;blast_rank=20&amp;RID=1CUCCVNH013","XM_028616908.1")</f>
        <v>XM_028616908.1</v>
      </c>
    </row>
    <row r="800" spans="1:7" x14ac:dyDescent="0.35">
      <c r="A800" t="s">
        <v>650</v>
      </c>
      <c r="B800">
        <v>195</v>
      </c>
      <c r="C800">
        <v>195</v>
      </c>
      <c r="D800" s="2">
        <v>0.63</v>
      </c>
      <c r="E800" s="3">
        <v>9.9999999999999995E-58</v>
      </c>
      <c r="F800">
        <v>60.81</v>
      </c>
      <c r="G800" t="str">
        <f>HYPERLINK("https://www.ncbi.nlm.nih.gov/nucleotide/XM_019141502.1?report=genbank&amp;log$=nucltop&amp;blast_rank=21&amp;RID=1CUCCVNH013","XM_019141502.1")</f>
        <v>XM_019141502.1</v>
      </c>
    </row>
    <row r="801" spans="1:7" x14ac:dyDescent="0.35">
      <c r="A801" t="s">
        <v>651</v>
      </c>
      <c r="B801">
        <v>196</v>
      </c>
      <c r="C801">
        <v>196</v>
      </c>
      <c r="D801" s="2">
        <v>0.63</v>
      </c>
      <c r="E801" s="3">
        <v>9.9999999999999995E-58</v>
      </c>
      <c r="F801">
        <v>59.18</v>
      </c>
      <c r="G801" t="str">
        <f>HYPERLINK("https://www.ncbi.nlm.nih.gov/nucleotide/XM_018421762.1?report=genbank&amp;log$=nucltop&amp;blast_rank=22&amp;RID=1CUCCVNH013","XM_018421762.1")</f>
        <v>XM_018421762.1</v>
      </c>
    </row>
    <row r="802" spans="1:7" x14ac:dyDescent="0.35">
      <c r="A802" t="s">
        <v>37</v>
      </c>
      <c r="B802">
        <v>202</v>
      </c>
      <c r="C802">
        <v>399</v>
      </c>
      <c r="D802" s="2">
        <v>0.93</v>
      </c>
      <c r="E802" s="3">
        <v>9.9999999999999999E-56</v>
      </c>
      <c r="F802">
        <v>57.77</v>
      </c>
      <c r="G802" t="str">
        <f>HYPERLINK("https://www.ncbi.nlm.nih.gov/nucleotide/LR732085.1?report=genbank&amp;log$=nucltop&amp;blast_rank=23&amp;RID=1CUCCVNH013","LR732085.1")</f>
        <v>LR732085.1</v>
      </c>
    </row>
    <row r="803" spans="1:7" x14ac:dyDescent="0.35">
      <c r="A803" t="s">
        <v>652</v>
      </c>
      <c r="B803">
        <v>189</v>
      </c>
      <c r="C803">
        <v>189</v>
      </c>
      <c r="D803" s="2">
        <v>0.62</v>
      </c>
      <c r="E803" s="3">
        <v>2E-55</v>
      </c>
      <c r="F803">
        <v>59.44</v>
      </c>
      <c r="G803" t="str">
        <f>HYPERLINK("https://www.ncbi.nlm.nih.gov/nucleotide/XM_032001229.1?report=genbank&amp;log$=nucltop&amp;blast_rank=24&amp;RID=1CUCCVNH013","XM_032001229.1")</f>
        <v>XM_032001229.1</v>
      </c>
    </row>
    <row r="804" spans="1:7" x14ac:dyDescent="0.35">
      <c r="A804" t="s">
        <v>653</v>
      </c>
      <c r="B804">
        <v>187</v>
      </c>
      <c r="C804">
        <v>187</v>
      </c>
      <c r="D804" s="2">
        <v>0.63</v>
      </c>
      <c r="E804" s="3">
        <v>3.0000000000000002E-55</v>
      </c>
      <c r="F804">
        <v>59.86</v>
      </c>
      <c r="G804" t="str">
        <f>HYPERLINK("https://www.ncbi.nlm.nih.gov/nucleotide/XM_770602.1?report=genbank&amp;log$=nucltop&amp;blast_rank=25&amp;RID=1CUCCVNH013","XM_770602.1")</f>
        <v>XM_770602.1</v>
      </c>
    </row>
    <row r="805" spans="1:7" x14ac:dyDescent="0.35">
      <c r="A805" s="4" t="s">
        <v>654</v>
      </c>
      <c r="B805" s="4">
        <v>188</v>
      </c>
      <c r="C805" s="4">
        <v>188</v>
      </c>
      <c r="D805" s="5">
        <v>0.65</v>
      </c>
      <c r="E805" s="6">
        <v>4E-55</v>
      </c>
      <c r="F805" s="4">
        <v>56.29</v>
      </c>
      <c r="G805" s="4" t="str">
        <f>HYPERLINK("https://www.ncbi.nlm.nih.gov/nucleotide/XM_019153916.1?report=genbank&amp;log$=nucltop&amp;blast_rank=26&amp;RID=1CUCCVNH013","XM_019153916.1")</f>
        <v>XM_019153916.1</v>
      </c>
    </row>
    <row r="806" spans="1:7" x14ac:dyDescent="0.35">
      <c r="A806" s="4" t="s">
        <v>655</v>
      </c>
      <c r="B806" s="4">
        <v>187</v>
      </c>
      <c r="C806" s="4">
        <v>187</v>
      </c>
      <c r="D806" s="5">
        <v>0.63</v>
      </c>
      <c r="E806" s="6">
        <v>4E-55</v>
      </c>
      <c r="F806" s="4">
        <v>58.94</v>
      </c>
      <c r="G806" s="4" t="str">
        <f>HYPERLINK("https://www.ncbi.nlm.nih.gov/nucleotide/XM_019176525.1?report=genbank&amp;log$=nucltop&amp;blast_rank=27&amp;RID=1CUCCVNH013","XM_019176525.1")</f>
        <v>XM_019176525.1</v>
      </c>
    </row>
    <row r="807" spans="1:7" x14ac:dyDescent="0.35">
      <c r="A807" s="4" t="s">
        <v>656</v>
      </c>
      <c r="B807" s="4">
        <v>187</v>
      </c>
      <c r="C807" s="4">
        <v>187</v>
      </c>
      <c r="D807" s="5">
        <v>0.63</v>
      </c>
      <c r="E807" s="6">
        <v>4E-55</v>
      </c>
      <c r="F807" s="4">
        <v>59.46</v>
      </c>
      <c r="G807" s="4" t="str">
        <f>HYPERLINK("https://www.ncbi.nlm.nih.gov/nucleotide/XM_003193544.1?report=genbank&amp;log$=nucltop&amp;blast_rank=28&amp;RID=1CUCCVNH013","XM_003193544.1")</f>
        <v>XM_003193544.1</v>
      </c>
    </row>
    <row r="808" spans="1:7" x14ac:dyDescent="0.35">
      <c r="A808" s="4" t="s">
        <v>657</v>
      </c>
      <c r="B808" s="4">
        <v>188</v>
      </c>
      <c r="C808" s="4">
        <v>188</v>
      </c>
      <c r="D808" s="5">
        <v>0.63</v>
      </c>
      <c r="E808" s="6">
        <v>4E-55</v>
      </c>
      <c r="F808" s="4">
        <v>57.82</v>
      </c>
      <c r="G808" s="4" t="str">
        <f>HYPERLINK("https://www.ncbi.nlm.nih.gov/nucleotide/XM_018408792.1?report=genbank&amp;log$=nucltop&amp;blast_rank=29&amp;RID=1CUCCVNH013","XM_018408792.1")</f>
        <v>XM_018408792.1</v>
      </c>
    </row>
    <row r="809" spans="1:7" x14ac:dyDescent="0.35">
      <c r="A809" s="4" t="s">
        <v>658</v>
      </c>
      <c r="B809" s="4">
        <v>187</v>
      </c>
      <c r="C809" s="4">
        <v>187</v>
      </c>
      <c r="D809" s="5">
        <v>0.65</v>
      </c>
      <c r="E809" s="6">
        <v>5.0000000000000002E-55</v>
      </c>
      <c r="F809" s="4">
        <v>55.92</v>
      </c>
      <c r="G809" s="4" t="str">
        <f>HYPERLINK("https://www.ncbi.nlm.nih.gov/nucleotide/XM_019146799.1?report=genbank&amp;log$=nucltop&amp;blast_rank=30&amp;RID=1CUCCVNH013","XM_019146799.1")</f>
        <v>XM_019146799.1</v>
      </c>
    </row>
    <row r="810" spans="1:7" x14ac:dyDescent="0.35">
      <c r="A810" s="4" t="s">
        <v>659</v>
      </c>
      <c r="B810" s="4">
        <v>187</v>
      </c>
      <c r="C810" s="4">
        <v>187</v>
      </c>
      <c r="D810" s="5">
        <v>0.65</v>
      </c>
      <c r="E810" s="6">
        <v>7.0000000000000005E-55</v>
      </c>
      <c r="F810" s="4">
        <v>55.26</v>
      </c>
      <c r="G810" s="4" t="str">
        <f>HYPERLINK("https://www.ncbi.nlm.nih.gov/nucleotide/XM_019192754.1?report=genbank&amp;log$=nucltop&amp;blast_rank=31&amp;RID=1CUCCVNH013","XM_019192754.1")</f>
        <v>XM_019192754.1</v>
      </c>
    </row>
    <row r="811" spans="1:7" x14ac:dyDescent="0.35">
      <c r="A811" s="4" t="s">
        <v>660</v>
      </c>
      <c r="B811" s="4">
        <v>189</v>
      </c>
      <c r="C811" s="4">
        <v>189</v>
      </c>
      <c r="D811" s="5">
        <v>0.65</v>
      </c>
      <c r="E811" s="6">
        <v>6.0000000000000002E-54</v>
      </c>
      <c r="F811" s="4">
        <v>53.95</v>
      </c>
      <c r="G811" s="4" t="str">
        <f>HYPERLINK("https://www.ncbi.nlm.nih.gov/nucleotide/XM_022013753.1?report=genbank&amp;log$=nucltop&amp;blast_rank=32&amp;RID=1CUCCVNH013","XM_022013753.1")</f>
        <v>XM_022013753.1</v>
      </c>
    </row>
    <row r="812" spans="1:7" x14ac:dyDescent="0.35">
      <c r="A812" t="s">
        <v>661</v>
      </c>
      <c r="B812">
        <v>187</v>
      </c>
      <c r="C812">
        <v>187</v>
      </c>
      <c r="D812" s="2">
        <v>0.63</v>
      </c>
      <c r="E812" s="3">
        <v>6.0000000000000002E-54</v>
      </c>
      <c r="F812">
        <v>59.86</v>
      </c>
      <c r="G812" t="str">
        <f>HYPERLINK("https://www.ncbi.nlm.nih.gov/nucleotide/XM_570451.2?report=genbank&amp;log$=nucltop&amp;blast_rank=33&amp;RID=1CUCCVNH013","XM_570451.2")</f>
        <v>XM_570451.2</v>
      </c>
    </row>
    <row r="813" spans="1:7" x14ac:dyDescent="0.35">
      <c r="A813" s="4" t="s">
        <v>662</v>
      </c>
      <c r="B813" s="4">
        <v>187</v>
      </c>
      <c r="C813" s="4">
        <v>187</v>
      </c>
      <c r="D813" s="5">
        <v>0.63</v>
      </c>
      <c r="E813" s="6">
        <v>3.0000000000000002E-53</v>
      </c>
      <c r="F813" s="4">
        <v>60.54</v>
      </c>
      <c r="G813" s="4" t="str">
        <f>HYPERLINK("https://www.ncbi.nlm.nih.gov/nucleotide/XM_012193914.1?report=genbank&amp;log$=nucltop&amp;blast_rank=34&amp;RID=1CUCCVNH013","XM_012193914.1")</f>
        <v>XM_012193914.1</v>
      </c>
    </row>
    <row r="814" spans="1:7" x14ac:dyDescent="0.35">
      <c r="A814" t="s">
        <v>663</v>
      </c>
      <c r="B814">
        <v>178</v>
      </c>
      <c r="C814">
        <v>178</v>
      </c>
      <c r="D814" s="2">
        <v>0.59</v>
      </c>
      <c r="E814" s="3">
        <v>2E-52</v>
      </c>
      <c r="F814">
        <v>59.42</v>
      </c>
      <c r="G814" t="str">
        <f>HYPERLINK("https://www.ncbi.nlm.nih.gov/nucleotide/XM_007000367.1?report=genbank&amp;log$=nucltop&amp;blast_rank=35&amp;RID=1CUCCVNH013","XM_007000367.1")</f>
        <v>XM_007000367.1</v>
      </c>
    </row>
    <row r="815" spans="1:7" x14ac:dyDescent="0.35">
      <c r="A815" t="s">
        <v>664</v>
      </c>
      <c r="B815">
        <v>176</v>
      </c>
      <c r="C815">
        <v>176</v>
      </c>
      <c r="D815" s="2">
        <v>0.63</v>
      </c>
      <c r="E815" s="3">
        <v>2E-51</v>
      </c>
      <c r="F815">
        <v>56.46</v>
      </c>
      <c r="G815" t="str">
        <f>HYPERLINK("https://www.ncbi.nlm.nih.gov/nucleotide/AY811864.1?report=genbank&amp;log$=nucltop&amp;blast_rank=36&amp;RID=1CUCCVNH013","AY811864.1")</f>
        <v>AY811864.1</v>
      </c>
    </row>
    <row r="816" spans="1:7" x14ac:dyDescent="0.35">
      <c r="A816" s="4" t="s">
        <v>665</v>
      </c>
      <c r="B816" s="4">
        <v>173</v>
      </c>
      <c r="C816" s="4">
        <v>173</v>
      </c>
      <c r="D816" s="5">
        <v>0.72</v>
      </c>
      <c r="E816" s="6">
        <v>1E-50</v>
      </c>
      <c r="F816" s="4">
        <v>50.3</v>
      </c>
      <c r="G816" s="4" t="str">
        <f>HYPERLINK("https://www.ncbi.nlm.nih.gov/nucleotide/XM_016414163.1?report=genbank&amp;log$=nucltop&amp;blast_rank=37&amp;RID=1CUCCVNH013","XM_016414163.1")</f>
        <v>XM_016414163.1</v>
      </c>
    </row>
    <row r="817" spans="1:7" x14ac:dyDescent="0.35">
      <c r="A817" t="s">
        <v>666</v>
      </c>
      <c r="B817">
        <v>172</v>
      </c>
      <c r="C817">
        <v>172</v>
      </c>
      <c r="D817" s="2">
        <v>0.63</v>
      </c>
      <c r="E817" s="3">
        <v>4E-50</v>
      </c>
      <c r="F817">
        <v>53.38</v>
      </c>
      <c r="G817" t="str">
        <f>HYPERLINK("https://www.ncbi.nlm.nih.gov/nucleotide/XM_018413255.1?report=genbank&amp;log$=nucltop&amp;blast_rank=38&amp;RID=1CUCCVNH013","XM_018413255.1")</f>
        <v>XM_018413255.1</v>
      </c>
    </row>
    <row r="818" spans="1:7" x14ac:dyDescent="0.35">
      <c r="A818" t="s">
        <v>667</v>
      </c>
      <c r="B818">
        <v>172</v>
      </c>
      <c r="C818">
        <v>172</v>
      </c>
      <c r="D818" s="2">
        <v>0.65</v>
      </c>
      <c r="E818" s="3">
        <v>5.9999999999999998E-50</v>
      </c>
      <c r="F818">
        <v>53.29</v>
      </c>
      <c r="G818" t="str">
        <f>HYPERLINK("https://www.ncbi.nlm.nih.gov/nucleotide/XM_037213207.1?report=genbank&amp;log$=nucltop&amp;blast_rank=39&amp;RID=1CUCCVNH013","XM_037213207.1")</f>
        <v>XM_037213207.1</v>
      </c>
    </row>
    <row r="819" spans="1:7" x14ac:dyDescent="0.35">
      <c r="A819" t="s">
        <v>668</v>
      </c>
      <c r="B819">
        <v>172</v>
      </c>
      <c r="C819">
        <v>172</v>
      </c>
      <c r="D819" s="2">
        <v>0.65</v>
      </c>
      <c r="E819" s="3">
        <v>9.9999999999999994E-50</v>
      </c>
      <c r="F819">
        <v>53.29</v>
      </c>
      <c r="G819" t="str">
        <f>HYPERLINK("https://www.ncbi.nlm.nih.gov/nucleotide/XM_037212088.1?report=genbank&amp;log$=nucltop&amp;blast_rank=40&amp;RID=1CUCCVNH013","XM_037212088.1")</f>
        <v>XM_037212088.1</v>
      </c>
    </row>
    <row r="820" spans="1:7" x14ac:dyDescent="0.35">
      <c r="A820" t="s">
        <v>669</v>
      </c>
      <c r="B820">
        <v>176</v>
      </c>
      <c r="C820">
        <v>176</v>
      </c>
      <c r="D820" s="2">
        <v>0.64</v>
      </c>
      <c r="E820" s="3">
        <v>1.9999999999999999E-49</v>
      </c>
      <c r="F820">
        <v>56.29</v>
      </c>
      <c r="G820" t="str">
        <f>HYPERLINK("https://www.ncbi.nlm.nih.gov/nucleotide/XM_007407781.1?report=genbank&amp;log$=nucltop&amp;blast_rank=41&amp;RID=1CUCCVNH013","XM_007407781.1")</f>
        <v>XM_007407781.1</v>
      </c>
    </row>
    <row r="821" spans="1:7" x14ac:dyDescent="0.35">
      <c r="A821" t="s">
        <v>670</v>
      </c>
      <c r="B821">
        <v>172</v>
      </c>
      <c r="C821">
        <v>172</v>
      </c>
      <c r="D821" s="2">
        <v>0.65</v>
      </c>
      <c r="E821" s="3">
        <v>1.9999999999999999E-49</v>
      </c>
      <c r="F821">
        <v>53.29</v>
      </c>
      <c r="G821" t="str">
        <f>HYPERLINK("https://www.ncbi.nlm.nih.gov/nucleotide/XM_037212086.1?report=genbank&amp;log$=nucltop&amp;blast_rank=42&amp;RID=1CUCCVNH013","XM_037212086.1")</f>
        <v>XM_037212086.1</v>
      </c>
    </row>
    <row r="822" spans="1:7" x14ac:dyDescent="0.35">
      <c r="A822" t="s">
        <v>671</v>
      </c>
      <c r="B822">
        <v>172</v>
      </c>
      <c r="C822">
        <v>172</v>
      </c>
      <c r="D822" s="2">
        <v>0.65</v>
      </c>
      <c r="E822" s="3">
        <v>1.9999999999999999E-49</v>
      </c>
      <c r="F822">
        <v>53.29</v>
      </c>
      <c r="G822" t="str">
        <f>HYPERLINK("https://www.ncbi.nlm.nih.gov/nucleotide/XM_037212087.1?report=genbank&amp;log$=nucltop&amp;blast_rank=43&amp;RID=1CUCCVNH013","XM_037212087.1")</f>
        <v>XM_037212087.1</v>
      </c>
    </row>
    <row r="823" spans="1:7" x14ac:dyDescent="0.35">
      <c r="A823" s="4" t="s">
        <v>672</v>
      </c>
      <c r="B823" s="4">
        <v>178</v>
      </c>
      <c r="C823" s="4">
        <v>178</v>
      </c>
      <c r="D823" s="5">
        <v>0.65</v>
      </c>
      <c r="E823" s="6">
        <v>3.9999999999999997E-49</v>
      </c>
      <c r="F823" s="4">
        <v>55.63</v>
      </c>
      <c r="G823" s="4" t="str">
        <f>HYPERLINK("https://www.ncbi.nlm.nih.gov/nucleotide/XM_018795126.1?report=genbank&amp;log$=nucltop&amp;blast_rank=44&amp;RID=1CUCCVNH013","XM_018795126.1")</f>
        <v>XM_018795126.1</v>
      </c>
    </row>
    <row r="824" spans="1:7" x14ac:dyDescent="0.35">
      <c r="A824" s="4" t="s">
        <v>673</v>
      </c>
      <c r="B824" s="4">
        <v>169</v>
      </c>
      <c r="C824" s="4">
        <v>169</v>
      </c>
      <c r="D824" s="5">
        <v>0.66</v>
      </c>
      <c r="E824" s="6">
        <v>6E-49</v>
      </c>
      <c r="F824" s="4">
        <v>50.65</v>
      </c>
      <c r="G824" s="4" t="str">
        <f>HYPERLINK("https://www.ncbi.nlm.nih.gov/nucleotide/XM_004347989.2?report=genbank&amp;log$=nucltop&amp;blast_rank=45&amp;RID=1CUCCVNH013","XM_004347989.2")</f>
        <v>XM_004347989.2</v>
      </c>
    </row>
    <row r="825" spans="1:7" x14ac:dyDescent="0.35">
      <c r="A825" t="s">
        <v>674</v>
      </c>
      <c r="B825">
        <v>177</v>
      </c>
      <c r="C825">
        <v>177</v>
      </c>
      <c r="D825" s="2">
        <v>0.63</v>
      </c>
      <c r="E825" s="3">
        <v>6E-49</v>
      </c>
      <c r="F825">
        <v>56.46</v>
      </c>
      <c r="G825" t="str">
        <f>HYPERLINK("https://www.ncbi.nlm.nih.gov/nucleotide/AY814691.2?report=genbank&amp;log$=nucltop&amp;blast_rank=46&amp;RID=1CUCCVNH013","AY814691.2")</f>
        <v>AY814691.2</v>
      </c>
    </row>
    <row r="826" spans="1:7" x14ac:dyDescent="0.35">
      <c r="A826" s="4" t="s">
        <v>675</v>
      </c>
      <c r="B826" s="4">
        <v>168</v>
      </c>
      <c r="C826" s="4">
        <v>168</v>
      </c>
      <c r="D826" s="5">
        <v>0.66</v>
      </c>
      <c r="E826" s="6">
        <v>1.9999999999999999E-48</v>
      </c>
      <c r="F826" s="4">
        <v>50.64</v>
      </c>
      <c r="G826" s="4" t="str">
        <f>HYPERLINK("https://www.ncbi.nlm.nih.gov/nucleotide/AB528700.1?report=genbank&amp;log$=nucltop&amp;blast_rank=47&amp;RID=1CUCCVNH013","AB528700.1")</f>
        <v>AB528700.1</v>
      </c>
    </row>
    <row r="827" spans="1:7" x14ac:dyDescent="0.35">
      <c r="A827" s="4" t="s">
        <v>676</v>
      </c>
      <c r="B827" s="4">
        <v>168</v>
      </c>
      <c r="C827" s="4">
        <v>168</v>
      </c>
      <c r="D827" s="5">
        <v>0.66</v>
      </c>
      <c r="E827" s="6">
        <v>1.9999999999999999E-48</v>
      </c>
      <c r="F827" s="4">
        <v>50.64</v>
      </c>
      <c r="G827" s="4" t="str">
        <f>HYPERLINK("https://www.ncbi.nlm.nih.gov/nucleotide/BT019345.1?report=genbank&amp;log$=nucltop&amp;blast_rank=48&amp;RID=1CUCCVNH013","BT019345.1")</f>
        <v>BT019345.1</v>
      </c>
    </row>
    <row r="828" spans="1:7" x14ac:dyDescent="0.35">
      <c r="A828" s="4" t="s">
        <v>677</v>
      </c>
      <c r="B828" s="4">
        <v>168</v>
      </c>
      <c r="C828" s="4">
        <v>168</v>
      </c>
      <c r="D828" s="5">
        <v>0.66</v>
      </c>
      <c r="E828" s="6">
        <v>1.9999999999999999E-48</v>
      </c>
      <c r="F828" s="4">
        <v>50.64</v>
      </c>
      <c r="G828" s="4" t="str">
        <f>HYPERLINK("https://www.ncbi.nlm.nih.gov/nucleotide/BT019344.1?report=genbank&amp;log$=nucltop&amp;blast_rank=49&amp;RID=1CUCCVNH013","BT019344.1")</f>
        <v>BT019344.1</v>
      </c>
    </row>
    <row r="829" spans="1:7" x14ac:dyDescent="0.35">
      <c r="A829" t="s">
        <v>678</v>
      </c>
      <c r="B829">
        <v>169</v>
      </c>
      <c r="C829">
        <v>169</v>
      </c>
      <c r="D829" s="2">
        <v>0.63</v>
      </c>
      <c r="E829" s="3">
        <v>2.9999999999999999E-48</v>
      </c>
      <c r="F829">
        <v>52.38</v>
      </c>
      <c r="G829" t="str">
        <f>HYPERLINK("https://www.ncbi.nlm.nih.gov/nucleotide/XM_029504171.1?report=genbank&amp;log$=nucltop&amp;blast_rank=50&amp;RID=1CUCCVNH013","XM_029504171.1")</f>
        <v>XM_029504171.1</v>
      </c>
    </row>
    <row r="830" spans="1:7" x14ac:dyDescent="0.35">
      <c r="A830" t="s">
        <v>679</v>
      </c>
      <c r="B830">
        <v>167</v>
      </c>
      <c r="C830">
        <v>167</v>
      </c>
      <c r="D830" s="2">
        <v>0.63</v>
      </c>
      <c r="E830" s="3">
        <v>2.9999999999999999E-48</v>
      </c>
      <c r="F830">
        <v>51.7</v>
      </c>
      <c r="G830" t="str">
        <f>HYPERLINK("https://www.ncbi.nlm.nih.gov/nucleotide/XM_006883342.1?report=genbank&amp;log$=nucltop&amp;blast_rank=51&amp;RID=1CUCCVNH013","XM_006883342.1")</f>
        <v>XM_006883342.1</v>
      </c>
    </row>
    <row r="831" spans="1:7" x14ac:dyDescent="0.35">
      <c r="A831" s="4" t="s">
        <v>680</v>
      </c>
      <c r="B831" s="4">
        <v>167</v>
      </c>
      <c r="C831" s="4">
        <v>167</v>
      </c>
      <c r="D831" s="5">
        <v>0.63</v>
      </c>
      <c r="E831" s="6">
        <v>2.9999999999999999E-48</v>
      </c>
      <c r="F831" s="4">
        <v>51.7</v>
      </c>
      <c r="G831" s="4" t="str">
        <f>HYPERLINK("https://www.ncbi.nlm.nih.gov/nucleotide/NM_001078672.1?report=genbank&amp;log$=nucltop&amp;blast_rank=52&amp;RID=1CUCCVNH013","NM_001078672.1")</f>
        <v>NM_001078672.1</v>
      </c>
    </row>
    <row r="832" spans="1:7" x14ac:dyDescent="0.35">
      <c r="A832" t="s">
        <v>681</v>
      </c>
      <c r="B832">
        <v>167</v>
      </c>
      <c r="C832">
        <v>167</v>
      </c>
      <c r="D832" s="2">
        <v>0.63</v>
      </c>
      <c r="E832" s="3">
        <v>3.9999999999999999E-48</v>
      </c>
      <c r="F832">
        <v>51.7</v>
      </c>
      <c r="G832" t="str">
        <f>HYPERLINK("https://www.ncbi.nlm.nih.gov/nucleotide/XM_031590225.1?report=genbank&amp;log$=nucltop&amp;blast_rank=53&amp;RID=1CUCCVNH013","XM_031590225.1")</f>
        <v>XM_031590225.1</v>
      </c>
    </row>
    <row r="833" spans="1:7" x14ac:dyDescent="0.35">
      <c r="A833" s="4" t="s">
        <v>682</v>
      </c>
      <c r="B833" s="4">
        <v>167</v>
      </c>
      <c r="C833" s="4">
        <v>167</v>
      </c>
      <c r="D833" s="5">
        <v>0.66</v>
      </c>
      <c r="E833" s="6">
        <v>3.9999999999999999E-48</v>
      </c>
      <c r="F833" s="4">
        <v>50.64</v>
      </c>
      <c r="G833" s="4" t="str">
        <f>HYPERLINK("https://www.ncbi.nlm.nih.gov/nucleotide/MG132745.1?report=genbank&amp;log$=nucltop&amp;blast_rank=54&amp;RID=1CUCCVNH013","MG132745.1")</f>
        <v>MG132745.1</v>
      </c>
    </row>
    <row r="834" spans="1:7" x14ac:dyDescent="0.35">
      <c r="A834" t="s">
        <v>683</v>
      </c>
      <c r="B834">
        <v>167</v>
      </c>
      <c r="C834">
        <v>167</v>
      </c>
      <c r="D834" s="2">
        <v>0.63</v>
      </c>
      <c r="E834" s="3">
        <v>3.9999999999999999E-48</v>
      </c>
      <c r="F834">
        <v>51.7</v>
      </c>
      <c r="G834" t="str">
        <f>HYPERLINK("https://www.ncbi.nlm.nih.gov/nucleotide/XM_030887671.1?report=genbank&amp;log$=nucltop&amp;blast_rank=55&amp;RID=1CUCCVNH013","XM_030887671.1")</f>
        <v>XM_030887671.1</v>
      </c>
    </row>
    <row r="835" spans="1:7" x14ac:dyDescent="0.35">
      <c r="A835" t="s">
        <v>684</v>
      </c>
      <c r="B835">
        <v>167</v>
      </c>
      <c r="C835">
        <v>167</v>
      </c>
      <c r="D835" s="2">
        <v>0.63</v>
      </c>
      <c r="E835" s="3">
        <v>3.9999999999999999E-48</v>
      </c>
      <c r="F835">
        <v>51.7</v>
      </c>
      <c r="G835" t="str">
        <f>HYPERLINK("https://www.ncbi.nlm.nih.gov/nucleotide/XM_009638632.2?report=genbank&amp;log$=nucltop&amp;blast_rank=56&amp;RID=1CUCCVNH013","XM_009638632.2")</f>
        <v>XM_009638632.2</v>
      </c>
    </row>
    <row r="836" spans="1:7" x14ac:dyDescent="0.35">
      <c r="A836" t="s">
        <v>685</v>
      </c>
      <c r="B836">
        <v>167</v>
      </c>
      <c r="C836">
        <v>167</v>
      </c>
      <c r="D836" s="2">
        <v>0.63</v>
      </c>
      <c r="E836" s="3">
        <v>3.9999999999999999E-48</v>
      </c>
      <c r="F836">
        <v>51.7</v>
      </c>
      <c r="G836" t="str">
        <f>HYPERLINK("https://www.ncbi.nlm.nih.gov/nucleotide/XM_025912909.1?report=genbank&amp;log$=nucltop&amp;blast_rank=57&amp;RID=1CUCCVNH013","XM_025912909.1")</f>
        <v>XM_025912909.1</v>
      </c>
    </row>
    <row r="837" spans="1:7" x14ac:dyDescent="0.35">
      <c r="A837" t="s">
        <v>686</v>
      </c>
      <c r="B837">
        <v>171</v>
      </c>
      <c r="C837">
        <v>171</v>
      </c>
      <c r="D837" s="2">
        <v>0.65</v>
      </c>
      <c r="E837" s="3">
        <v>3.9999999999999999E-48</v>
      </c>
      <c r="F837">
        <v>53.29</v>
      </c>
      <c r="G837" t="str">
        <f>HYPERLINK("https://www.ncbi.nlm.nih.gov/nucleotide/XM_013088085.2?report=genbank&amp;log$=nucltop&amp;blast_rank=58&amp;RID=1CUCCVNH013","XM_013088085.2")</f>
        <v>XM_013088085.2</v>
      </c>
    </row>
    <row r="838" spans="1:7" x14ac:dyDescent="0.35">
      <c r="A838" t="s">
        <v>687</v>
      </c>
      <c r="B838">
        <v>169</v>
      </c>
      <c r="C838">
        <v>169</v>
      </c>
      <c r="D838" s="2">
        <v>0.63</v>
      </c>
      <c r="E838" s="3">
        <v>3.9999999999999999E-48</v>
      </c>
      <c r="F838">
        <v>52.38</v>
      </c>
      <c r="G838" t="str">
        <f>HYPERLINK("https://www.ncbi.nlm.nih.gov/nucleotide/XM_027287284.1?report=genbank&amp;log$=nucltop&amp;blast_rank=59&amp;RID=1CUCCVNH013","XM_027287284.1")</f>
        <v>XM_027287284.1</v>
      </c>
    </row>
    <row r="839" spans="1:7" x14ac:dyDescent="0.35">
      <c r="A839" t="s">
        <v>688</v>
      </c>
      <c r="B839">
        <v>169</v>
      </c>
      <c r="C839">
        <v>169</v>
      </c>
      <c r="D839" s="2">
        <v>0.63</v>
      </c>
      <c r="E839" s="3">
        <v>4.9999999999999999E-48</v>
      </c>
      <c r="F839">
        <v>52.38</v>
      </c>
      <c r="G839" t="str">
        <f>HYPERLINK("https://www.ncbi.nlm.nih.gov/nucleotide/XM_022765801.1?report=genbank&amp;log$=nucltop&amp;blast_rank=60&amp;RID=1CUCCVNH013","XM_022765801.1")</f>
        <v>XM_022765801.1</v>
      </c>
    </row>
    <row r="840" spans="1:7" x14ac:dyDescent="0.35">
      <c r="A840" t="s">
        <v>689</v>
      </c>
      <c r="B840">
        <v>166</v>
      </c>
      <c r="C840">
        <v>166</v>
      </c>
      <c r="D840" s="2">
        <v>0.63</v>
      </c>
      <c r="E840" s="3">
        <v>4.9999999999999999E-48</v>
      </c>
      <c r="F840">
        <v>51.7</v>
      </c>
      <c r="G840" t="str">
        <f>HYPERLINK("https://www.ncbi.nlm.nih.gov/nucleotide/XM_006883343.1?report=genbank&amp;log$=nucltop&amp;blast_rank=61&amp;RID=1CUCCVNH013","XM_006883343.1")</f>
        <v>XM_006883343.1</v>
      </c>
    </row>
    <row r="841" spans="1:7" x14ac:dyDescent="0.35">
      <c r="A841" s="4" t="s">
        <v>690</v>
      </c>
      <c r="B841" s="4">
        <v>168</v>
      </c>
      <c r="C841" s="4">
        <v>168</v>
      </c>
      <c r="D841" s="5">
        <v>0.66</v>
      </c>
      <c r="E841" s="6">
        <v>4.9999999999999999E-48</v>
      </c>
      <c r="F841" s="4">
        <v>50.64</v>
      </c>
      <c r="G841" s="4" t="str">
        <f>HYPERLINK("https://www.ncbi.nlm.nih.gov/nucleotide/BC169529.1?report=genbank&amp;log$=nucltop&amp;blast_rank=62&amp;RID=1CUCCVNH013","BC169529.1")</f>
        <v>BC169529.1</v>
      </c>
    </row>
    <row r="842" spans="1:7" x14ac:dyDescent="0.35">
      <c r="A842" t="s">
        <v>691</v>
      </c>
      <c r="B842">
        <v>166</v>
      </c>
      <c r="C842">
        <v>166</v>
      </c>
      <c r="D842" s="2">
        <v>0.63</v>
      </c>
      <c r="E842" s="3">
        <v>4.9999999999999999E-48</v>
      </c>
      <c r="F842">
        <v>51.7</v>
      </c>
      <c r="G842" t="str">
        <f>HYPERLINK("https://www.ncbi.nlm.nih.gov/nucleotide/XM_025913246.1?report=genbank&amp;log$=nucltop&amp;blast_rank=63&amp;RID=1CUCCVNH013","XM_025913246.1")</f>
        <v>XM_025913246.1</v>
      </c>
    </row>
    <row r="843" spans="1:7" x14ac:dyDescent="0.35">
      <c r="A843" s="4" t="s">
        <v>692</v>
      </c>
      <c r="B843" s="4">
        <v>166</v>
      </c>
      <c r="C843" s="4">
        <v>166</v>
      </c>
      <c r="D843" s="5">
        <v>0.63</v>
      </c>
      <c r="E843" s="6">
        <v>4.9999999999999999E-48</v>
      </c>
      <c r="F843" s="4">
        <v>51.7</v>
      </c>
      <c r="G843" s="4" t="str">
        <f>HYPERLINK("https://www.ncbi.nlm.nih.gov/nucleotide/X92963.1?report=genbank&amp;log$=nucltop&amp;blast_rank=64&amp;RID=1CUCCVNH013","X92963.1")</f>
        <v>X92963.1</v>
      </c>
    </row>
    <row r="844" spans="1:7" x14ac:dyDescent="0.35">
      <c r="A844" t="s">
        <v>693</v>
      </c>
      <c r="B844">
        <v>168</v>
      </c>
      <c r="C844">
        <v>168</v>
      </c>
      <c r="D844" s="2">
        <v>0.66</v>
      </c>
      <c r="E844" s="3">
        <v>5.9999999999999998E-48</v>
      </c>
      <c r="F844">
        <v>50.64</v>
      </c>
      <c r="G844" t="str">
        <f>HYPERLINK("https://www.ncbi.nlm.nih.gov/nucleotide/BC169533.1?report=genbank&amp;log$=nucltop&amp;blast_rank=65&amp;RID=1CUCCVNH013","BC169533.1")</f>
        <v>BC169533.1</v>
      </c>
    </row>
    <row r="845" spans="1:7" x14ac:dyDescent="0.35">
      <c r="A845" s="4" t="s">
        <v>694</v>
      </c>
      <c r="B845" s="4">
        <v>168</v>
      </c>
      <c r="C845" s="4">
        <v>168</v>
      </c>
      <c r="D845" s="5">
        <v>0.63</v>
      </c>
      <c r="E845" s="6">
        <v>5.9999999999999998E-48</v>
      </c>
      <c r="F845" s="4">
        <v>52.38</v>
      </c>
      <c r="G845" s="4" t="str">
        <f>HYPERLINK("https://www.ncbi.nlm.nih.gov/nucleotide/BT057192.1?report=genbank&amp;log$=nucltop&amp;blast_rank=66&amp;RID=1CUCCVNH013","BT057192.1")</f>
        <v>BT057192.1</v>
      </c>
    </row>
    <row r="846" spans="1:7" x14ac:dyDescent="0.35">
      <c r="A846" t="s">
        <v>695</v>
      </c>
      <c r="B846">
        <v>169</v>
      </c>
      <c r="C846">
        <v>169</v>
      </c>
      <c r="D846" s="2">
        <v>0.63</v>
      </c>
      <c r="E846" s="3">
        <v>6.9999999999999998E-48</v>
      </c>
      <c r="F846">
        <v>52.38</v>
      </c>
      <c r="G846" t="str">
        <f>HYPERLINK("https://www.ncbi.nlm.nih.gov/nucleotide/XM_014031170.1?report=genbank&amp;log$=nucltop&amp;blast_rank=67&amp;RID=1CUCCVNH013","XM_014031170.1")</f>
        <v>XM_014031170.1</v>
      </c>
    </row>
    <row r="847" spans="1:7" x14ac:dyDescent="0.35">
      <c r="A847" t="s">
        <v>696</v>
      </c>
      <c r="B847">
        <v>169</v>
      </c>
      <c r="C847">
        <v>169</v>
      </c>
      <c r="D847" s="2">
        <v>0.63</v>
      </c>
      <c r="E847" s="3">
        <v>6.9999999999999998E-48</v>
      </c>
      <c r="F847">
        <v>53.06</v>
      </c>
      <c r="G847" t="str">
        <f>HYPERLINK("https://www.ncbi.nlm.nih.gov/nucleotide/NM_001304084.1?report=genbank&amp;log$=nucltop&amp;blast_rank=68&amp;RID=1CUCCVNH013","NM_001304084.1")</f>
        <v>NM_001304084.1</v>
      </c>
    </row>
    <row r="848" spans="1:7" x14ac:dyDescent="0.35">
      <c r="A848" t="s">
        <v>697</v>
      </c>
      <c r="B848">
        <v>166</v>
      </c>
      <c r="C848">
        <v>166</v>
      </c>
      <c r="D848" s="2">
        <v>0.64</v>
      </c>
      <c r="E848" s="3">
        <v>7.9999999999999998E-48</v>
      </c>
      <c r="F848">
        <v>51.35</v>
      </c>
      <c r="G848" t="str">
        <f>HYPERLINK("https://www.ncbi.nlm.nih.gov/nucleotide/XM_005535071.1?report=genbank&amp;log$=nucltop&amp;blast_rank=69&amp;RID=1CUCCVNH013","XM_005535071.1")</f>
        <v>XM_005535071.1</v>
      </c>
    </row>
    <row r="849" spans="1:7" x14ac:dyDescent="0.35">
      <c r="A849" t="s">
        <v>698</v>
      </c>
      <c r="B849">
        <v>168</v>
      </c>
      <c r="C849">
        <v>168</v>
      </c>
      <c r="D849" s="2">
        <v>0.66</v>
      </c>
      <c r="E849" s="3">
        <v>7.9999999999999998E-48</v>
      </c>
      <c r="F849">
        <v>50.64</v>
      </c>
      <c r="G849" t="str">
        <f>HYPERLINK("https://www.ncbi.nlm.nih.gov/nucleotide/KJ893054.1?report=genbank&amp;log$=nucltop&amp;blast_rank=70&amp;RID=1CUCCVNH013","KJ893054.1")</f>
        <v>KJ893054.1</v>
      </c>
    </row>
    <row r="850" spans="1:7" x14ac:dyDescent="0.35">
      <c r="A850" t="s">
        <v>699</v>
      </c>
      <c r="B850">
        <v>168</v>
      </c>
      <c r="C850">
        <v>168</v>
      </c>
      <c r="D850" s="2">
        <v>0.63</v>
      </c>
      <c r="E850" s="3">
        <v>7.9999999999999998E-48</v>
      </c>
      <c r="F850">
        <v>52.38</v>
      </c>
      <c r="G850" t="str">
        <f>HYPERLINK("https://www.ncbi.nlm.nih.gov/nucleotide/BT057585.1?report=genbank&amp;log$=nucltop&amp;blast_rank=71&amp;RID=1CUCCVNH013","BT057585.1")</f>
        <v>BT057585.1</v>
      </c>
    </row>
    <row r="851" spans="1:7" x14ac:dyDescent="0.35">
      <c r="A851" t="s">
        <v>700</v>
      </c>
      <c r="B851">
        <v>169</v>
      </c>
      <c r="C851">
        <v>169</v>
      </c>
      <c r="D851" s="2">
        <v>0.63</v>
      </c>
      <c r="E851" s="3">
        <v>7.9999999999999998E-48</v>
      </c>
      <c r="F851">
        <v>52.38</v>
      </c>
      <c r="G851" t="str">
        <f>HYPERLINK("https://www.ncbi.nlm.nih.gov/nucleotide/XM_029625952.1?report=genbank&amp;log$=nucltop&amp;blast_rank=72&amp;RID=1CUCCVNH013","XM_029625952.1")</f>
        <v>XM_029625952.1</v>
      </c>
    </row>
    <row r="852" spans="1:7" x14ac:dyDescent="0.35">
      <c r="A852" s="4" t="s">
        <v>701</v>
      </c>
      <c r="B852" s="4">
        <v>169</v>
      </c>
      <c r="C852" s="4">
        <v>169</v>
      </c>
      <c r="D852" s="5">
        <v>0.63</v>
      </c>
      <c r="E852" s="6">
        <v>7.9999999999999998E-48</v>
      </c>
      <c r="F852" s="4">
        <v>53.06</v>
      </c>
      <c r="G852" s="4" t="str">
        <f>HYPERLINK("https://www.ncbi.nlm.nih.gov/nucleotide/BT079919.1?report=genbank&amp;log$=nucltop&amp;blast_rank=73&amp;RID=1CUCCVNH013","BT079919.1")</f>
        <v>BT079919.1</v>
      </c>
    </row>
    <row r="853" spans="1:7" x14ac:dyDescent="0.35">
      <c r="A853" s="4" t="s">
        <v>702</v>
      </c>
      <c r="B853" s="4">
        <v>173</v>
      </c>
      <c r="C853" s="4">
        <v>173</v>
      </c>
      <c r="D853" s="5">
        <v>0.61</v>
      </c>
      <c r="E853" s="6">
        <v>7.9999999999999998E-48</v>
      </c>
      <c r="F853" s="4">
        <v>57.04</v>
      </c>
      <c r="G853" s="4" t="str">
        <f>HYPERLINK("https://www.ncbi.nlm.nih.gov/nucleotide/XM_012943543.2?report=genbank&amp;log$=nucltop&amp;blast_rank=74&amp;RID=1CUCCVNH013","XM_012943543.2")</f>
        <v>XM_012943543.2</v>
      </c>
    </row>
    <row r="854" spans="1:7" x14ac:dyDescent="0.35">
      <c r="A854" t="s">
        <v>703</v>
      </c>
      <c r="B854">
        <v>169</v>
      </c>
      <c r="C854">
        <v>169</v>
      </c>
      <c r="D854" s="2">
        <v>0.63</v>
      </c>
      <c r="E854" s="3">
        <v>8.9999999999999998E-48</v>
      </c>
      <c r="F854">
        <v>52.38</v>
      </c>
      <c r="G854" t="str">
        <f>HYPERLINK("https://www.ncbi.nlm.nih.gov/nucleotide/XM_004078394.4?report=genbank&amp;log$=nucltop&amp;blast_rank=75&amp;RID=1CUCCVNH013","XM_004078394.4")</f>
        <v>XM_004078394.4</v>
      </c>
    </row>
    <row r="855" spans="1:7" x14ac:dyDescent="0.35">
      <c r="A855" t="s">
        <v>704</v>
      </c>
      <c r="B855">
        <v>168</v>
      </c>
      <c r="C855">
        <v>168</v>
      </c>
      <c r="D855" s="2">
        <v>0.63</v>
      </c>
      <c r="E855" s="3">
        <v>8.9999999999999998E-48</v>
      </c>
      <c r="F855">
        <v>52.38</v>
      </c>
      <c r="G855" t="str">
        <f>HYPERLINK("https://www.ncbi.nlm.nih.gov/nucleotide/XM_034112645.1?report=genbank&amp;log$=nucltop&amp;blast_rank=76&amp;RID=1CUCCVNH013","XM_034112645.1")</f>
        <v>XM_034112645.1</v>
      </c>
    </row>
    <row r="856" spans="1:7" x14ac:dyDescent="0.35">
      <c r="A856" t="s">
        <v>705</v>
      </c>
      <c r="B856">
        <v>168</v>
      </c>
      <c r="C856">
        <v>168</v>
      </c>
      <c r="D856" s="2">
        <v>0.63</v>
      </c>
      <c r="E856" s="3">
        <v>8.9999999999999998E-48</v>
      </c>
      <c r="F856">
        <v>52.38</v>
      </c>
      <c r="G856" t="str">
        <f>HYPERLINK("https://www.ncbi.nlm.nih.gov/nucleotide/XM_029737379.1?report=genbank&amp;log$=nucltop&amp;blast_rank=77&amp;RID=1CUCCVNH013","XM_029737379.1")</f>
        <v>XM_029737379.1</v>
      </c>
    </row>
    <row r="857" spans="1:7" x14ac:dyDescent="0.35">
      <c r="A857" t="s">
        <v>706</v>
      </c>
      <c r="B857">
        <v>169</v>
      </c>
      <c r="C857">
        <v>169</v>
      </c>
      <c r="D857" s="2">
        <v>0.63</v>
      </c>
      <c r="E857" s="3">
        <v>8.9999999999999998E-48</v>
      </c>
      <c r="F857">
        <v>52.38</v>
      </c>
      <c r="G857" t="str">
        <f>HYPERLINK("https://www.ncbi.nlm.nih.gov/nucleotide/XM_030393239.1?report=genbank&amp;log$=nucltop&amp;blast_rank=78&amp;RID=1CUCCVNH013","XM_030393239.1")</f>
        <v>XM_030393239.1</v>
      </c>
    </row>
    <row r="858" spans="1:7" x14ac:dyDescent="0.35">
      <c r="A858" t="s">
        <v>707</v>
      </c>
      <c r="B858">
        <v>167</v>
      </c>
      <c r="C858">
        <v>167</v>
      </c>
      <c r="D858" s="2">
        <v>0.66</v>
      </c>
      <c r="E858" s="3">
        <v>8.9999999999999998E-48</v>
      </c>
      <c r="F858">
        <v>50.64</v>
      </c>
      <c r="G858" t="str">
        <f>HYPERLINK("https://www.ncbi.nlm.nih.gov/nucleotide/XM_006754665.2?report=genbank&amp;log$=nucltop&amp;blast_rank=79&amp;RID=1CUCCVNH013","XM_006754665.2")</f>
        <v>XM_006754665.2</v>
      </c>
    </row>
    <row r="859" spans="1:7" x14ac:dyDescent="0.35">
      <c r="A859" t="s">
        <v>708</v>
      </c>
      <c r="B859">
        <v>168</v>
      </c>
      <c r="C859">
        <v>168</v>
      </c>
      <c r="D859" s="2">
        <v>0.63</v>
      </c>
      <c r="E859" s="3">
        <v>9.9999999999999997E-48</v>
      </c>
      <c r="F859">
        <v>52.38</v>
      </c>
      <c r="G859" t="str">
        <f>HYPERLINK("https://www.ncbi.nlm.nih.gov/nucleotide/XM_035608723.1?report=genbank&amp;log$=nucltop&amp;blast_rank=80&amp;RID=1CUCCVNH013","XM_035608723.1")</f>
        <v>XM_035608723.1</v>
      </c>
    </row>
    <row r="860" spans="1:7" x14ac:dyDescent="0.35">
      <c r="A860" t="s">
        <v>709</v>
      </c>
      <c r="B860">
        <v>168</v>
      </c>
      <c r="C860">
        <v>168</v>
      </c>
      <c r="D860" s="2">
        <v>0.63</v>
      </c>
      <c r="E860" s="3">
        <v>9.9999999999999997E-48</v>
      </c>
      <c r="F860">
        <v>52.38</v>
      </c>
      <c r="G860" t="str">
        <f>HYPERLINK("https://www.ncbi.nlm.nih.gov/nucleotide/XM_038994301.1?report=genbank&amp;log$=nucltop&amp;blast_rank=81&amp;RID=1CUCCVNH013","XM_038994301.1")</f>
        <v>XM_038994301.1</v>
      </c>
    </row>
    <row r="861" spans="1:7" x14ac:dyDescent="0.35">
      <c r="A861" t="s">
        <v>710</v>
      </c>
      <c r="B861">
        <v>166</v>
      </c>
      <c r="C861">
        <v>166</v>
      </c>
      <c r="D861" s="2">
        <v>0.63</v>
      </c>
      <c r="E861" s="3">
        <v>9.9999999999999997E-48</v>
      </c>
      <c r="F861">
        <v>51.7</v>
      </c>
      <c r="G861" t="str">
        <f>HYPERLINK("https://www.ncbi.nlm.nih.gov/nucleotide/XM_038740798.1?report=genbank&amp;log$=nucltop&amp;blast_rank=82&amp;RID=1CUCCVNH013","XM_038740798.1")</f>
        <v>XM_038740798.1</v>
      </c>
    </row>
    <row r="862" spans="1:7" x14ac:dyDescent="0.35">
      <c r="A862" s="4" t="s">
        <v>711</v>
      </c>
      <c r="B862" s="4">
        <v>164</v>
      </c>
      <c r="C862" s="4">
        <v>164</v>
      </c>
      <c r="D862" s="5">
        <v>0.63</v>
      </c>
      <c r="E862" s="6">
        <v>9.9999999999999997E-48</v>
      </c>
      <c r="F862" s="4">
        <v>51.37</v>
      </c>
      <c r="G862" s="4" t="str">
        <f>HYPERLINK("https://www.ncbi.nlm.nih.gov/nucleotide/XM_029014759.1?report=genbank&amp;log$=nucltop&amp;blast_rank=83&amp;RID=1CUCCVNH013","XM_029014759.1")</f>
        <v>XM_029014759.1</v>
      </c>
    </row>
    <row r="863" spans="1:7" x14ac:dyDescent="0.35">
      <c r="A863" s="4" t="s">
        <v>712</v>
      </c>
      <c r="B863" s="4">
        <v>164</v>
      </c>
      <c r="C863" s="4">
        <v>164</v>
      </c>
      <c r="D863" s="5">
        <v>0.63</v>
      </c>
      <c r="E863" s="6">
        <v>9.9999999999999997E-48</v>
      </c>
      <c r="F863" s="4">
        <v>51.37</v>
      </c>
      <c r="G863" s="4" t="str">
        <f>HYPERLINK("https://www.ncbi.nlm.nih.gov/nucleotide/XM_009693149.1?report=genbank&amp;log$=nucltop&amp;blast_rank=84&amp;RID=1CUCCVNH013","XM_009693149.1")</f>
        <v>XM_009693149.1</v>
      </c>
    </row>
    <row r="864" spans="1:7" x14ac:dyDescent="0.35">
      <c r="A864" t="s">
        <v>713</v>
      </c>
      <c r="B864">
        <v>166</v>
      </c>
      <c r="C864">
        <v>166</v>
      </c>
      <c r="D864" s="2">
        <v>0.63</v>
      </c>
      <c r="E864" s="3">
        <v>9.9999999999999997E-48</v>
      </c>
      <c r="F864">
        <v>51.7</v>
      </c>
      <c r="G864" t="str">
        <f>HYPERLINK("https://www.ncbi.nlm.nih.gov/nucleotide/XM_031590224.1?report=genbank&amp;log$=nucltop&amp;blast_rank=85&amp;RID=1CUCCVNH013","XM_031590224.1")</f>
        <v>XM_031590224.1</v>
      </c>
    </row>
    <row r="865" spans="1:7" x14ac:dyDescent="0.35">
      <c r="A865" t="s">
        <v>714</v>
      </c>
      <c r="B865">
        <v>169</v>
      </c>
      <c r="C865">
        <v>169</v>
      </c>
      <c r="D865" s="2">
        <v>0.63</v>
      </c>
      <c r="E865" s="3">
        <v>9.9999999999999997E-48</v>
      </c>
      <c r="F865">
        <v>52.38</v>
      </c>
      <c r="G865" t="str">
        <f>HYPERLINK("https://www.ncbi.nlm.nih.gov/nucleotide/XM_031728435.1?report=genbank&amp;log$=nucltop&amp;blast_rank=86&amp;RID=1CUCCVNH013","XM_031728435.1")</f>
        <v>XM_031728435.1</v>
      </c>
    </row>
    <row r="866" spans="1:7" x14ac:dyDescent="0.35">
      <c r="A866" t="s">
        <v>715</v>
      </c>
      <c r="B866">
        <v>168</v>
      </c>
      <c r="C866">
        <v>168</v>
      </c>
      <c r="D866" s="2">
        <v>0.63</v>
      </c>
      <c r="E866" s="3">
        <v>9.9999999999999997E-48</v>
      </c>
      <c r="F866">
        <v>52.38</v>
      </c>
      <c r="G866" t="str">
        <f>HYPERLINK("https://www.ncbi.nlm.nih.gov/nucleotide/XM_029739136.1?report=genbank&amp;log$=nucltop&amp;blast_rank=87&amp;RID=1CUCCVNH013","XM_029739136.1")</f>
        <v>XM_029739136.1</v>
      </c>
    </row>
    <row r="867" spans="1:7" x14ac:dyDescent="0.35">
      <c r="A867" t="s">
        <v>716</v>
      </c>
      <c r="B867">
        <v>168</v>
      </c>
      <c r="C867">
        <v>168</v>
      </c>
      <c r="D867" s="2">
        <v>0.63</v>
      </c>
      <c r="E867" s="3">
        <v>9.9999999999999997E-48</v>
      </c>
      <c r="F867">
        <v>52.38</v>
      </c>
      <c r="G867" t="str">
        <f>HYPERLINK("https://www.ncbi.nlm.nih.gov/nucleotide/XM_004078396.4?report=genbank&amp;log$=nucltop&amp;blast_rank=88&amp;RID=1CUCCVNH013","XM_004078396.4")</f>
        <v>XM_004078396.4</v>
      </c>
    </row>
    <row r="868" spans="1:7" x14ac:dyDescent="0.35">
      <c r="A868" t="s">
        <v>717</v>
      </c>
      <c r="B868">
        <v>168</v>
      </c>
      <c r="C868">
        <v>168</v>
      </c>
      <c r="D868" s="2">
        <v>0.66</v>
      </c>
      <c r="E868" s="3">
        <v>9.9999999999999997E-48</v>
      </c>
      <c r="F868">
        <v>50.64</v>
      </c>
      <c r="G868" t="str">
        <f>HYPERLINK("https://www.ncbi.nlm.nih.gov/nucleotide/XM_036545364.1?report=genbank&amp;log$=nucltop&amp;blast_rank=89&amp;RID=1CUCCVNH013","XM_036545364.1")</f>
        <v>XM_036545364.1</v>
      </c>
    </row>
    <row r="869" spans="1:7" x14ac:dyDescent="0.35">
      <c r="A869" t="s">
        <v>718</v>
      </c>
      <c r="B869">
        <v>169</v>
      </c>
      <c r="C869">
        <v>169</v>
      </c>
      <c r="D869" s="2">
        <v>0.63</v>
      </c>
      <c r="E869" s="3">
        <v>9.9999999999999997E-48</v>
      </c>
      <c r="F869">
        <v>52.38</v>
      </c>
      <c r="G869" t="str">
        <f>HYPERLINK("https://www.ncbi.nlm.nih.gov/nucleotide/XM_035608725.1?report=genbank&amp;log$=nucltop&amp;blast_rank=90&amp;RID=1CUCCVNH013","XM_035608725.1")</f>
        <v>XM_035608725.1</v>
      </c>
    </row>
    <row r="870" spans="1:7" x14ac:dyDescent="0.35">
      <c r="A870" t="s">
        <v>719</v>
      </c>
      <c r="B870">
        <v>166</v>
      </c>
      <c r="C870">
        <v>166</v>
      </c>
      <c r="D870" s="2">
        <v>0.66</v>
      </c>
      <c r="E870" s="3">
        <v>9.9999999999999997E-48</v>
      </c>
      <c r="F870">
        <v>50</v>
      </c>
      <c r="G870" t="str">
        <f>HYPERLINK("https://www.ncbi.nlm.nih.gov/nucleotide/AY610396.1?report=genbank&amp;log$=nucltop&amp;blast_rank=91&amp;RID=1CUCCVNH013","AY610396.1")</f>
        <v>AY610396.1</v>
      </c>
    </row>
    <row r="871" spans="1:7" x14ac:dyDescent="0.35">
      <c r="A871" t="s">
        <v>720</v>
      </c>
      <c r="B871">
        <v>168</v>
      </c>
      <c r="C871">
        <v>168</v>
      </c>
      <c r="D871" s="2">
        <v>0.63</v>
      </c>
      <c r="E871" s="3">
        <v>9.9999999999999997E-48</v>
      </c>
      <c r="F871">
        <v>52.38</v>
      </c>
      <c r="G871" t="str">
        <f>HYPERLINK("https://www.ncbi.nlm.nih.gov/nucleotide/XM_029679786.1?report=genbank&amp;log$=nucltop&amp;blast_rank=92&amp;RID=1CUCCVNH013","XM_029679786.1")</f>
        <v>XM_029679786.1</v>
      </c>
    </row>
    <row r="872" spans="1:7" x14ac:dyDescent="0.35">
      <c r="A872" t="s">
        <v>721</v>
      </c>
      <c r="B872">
        <v>168</v>
      </c>
      <c r="C872">
        <v>168</v>
      </c>
      <c r="D872" s="2">
        <v>0.63</v>
      </c>
      <c r="E872" s="3">
        <v>9.9999999999999997E-48</v>
      </c>
      <c r="F872">
        <v>52.38</v>
      </c>
      <c r="G872" t="str">
        <f>HYPERLINK("https://www.ncbi.nlm.nih.gov/nucleotide/XM_029679785.1?report=genbank&amp;log$=nucltop&amp;blast_rank=93&amp;RID=1CUCCVNH013","XM_029679785.1")</f>
        <v>XM_029679785.1</v>
      </c>
    </row>
    <row r="873" spans="1:7" x14ac:dyDescent="0.35">
      <c r="A873" t="s">
        <v>722</v>
      </c>
      <c r="B873">
        <v>168</v>
      </c>
      <c r="C873">
        <v>168</v>
      </c>
      <c r="D873" s="2">
        <v>0.63</v>
      </c>
      <c r="E873" s="3">
        <v>9.9999999999999997E-48</v>
      </c>
      <c r="F873">
        <v>52.38</v>
      </c>
      <c r="G873" t="str">
        <f>HYPERLINK("https://www.ncbi.nlm.nih.gov/nucleotide/XM_024385925.1?report=genbank&amp;log$=nucltop&amp;blast_rank=94&amp;RID=1CUCCVNH013","XM_024385925.1")</f>
        <v>XM_024385925.1</v>
      </c>
    </row>
    <row r="874" spans="1:7" x14ac:dyDescent="0.35">
      <c r="A874" t="s">
        <v>723</v>
      </c>
      <c r="B874">
        <v>169</v>
      </c>
      <c r="C874">
        <v>169</v>
      </c>
      <c r="D874" s="2">
        <v>0.63</v>
      </c>
      <c r="E874" s="3">
        <v>9.9999999999999997E-48</v>
      </c>
      <c r="F874">
        <v>52.38</v>
      </c>
      <c r="G874" t="str">
        <f>HYPERLINK("https://www.ncbi.nlm.nih.gov/nucleotide/XM_031728436.1?report=genbank&amp;log$=nucltop&amp;blast_rank=95&amp;RID=1CUCCVNH013","XM_031728436.1")</f>
        <v>XM_031728436.1</v>
      </c>
    </row>
    <row r="875" spans="1:7" x14ac:dyDescent="0.35">
      <c r="A875" t="s">
        <v>724</v>
      </c>
      <c r="B875">
        <v>169</v>
      </c>
      <c r="C875">
        <v>169</v>
      </c>
      <c r="D875" s="2">
        <v>0.63</v>
      </c>
      <c r="E875" s="3">
        <v>9.9999999999999997E-48</v>
      </c>
      <c r="F875">
        <v>52.38</v>
      </c>
      <c r="G875" t="str">
        <f>HYPERLINK("https://www.ncbi.nlm.nih.gov/nucleotide/XM_006801780.2?report=genbank&amp;log$=nucltop&amp;blast_rank=96&amp;RID=1CUCCVNH013","XM_006801780.2")</f>
        <v>XM_006801780.2</v>
      </c>
    </row>
    <row r="876" spans="1:7" x14ac:dyDescent="0.35">
      <c r="A876" t="s">
        <v>725</v>
      </c>
      <c r="B876">
        <v>167</v>
      </c>
      <c r="C876">
        <v>167</v>
      </c>
      <c r="D876" s="2">
        <v>0.63</v>
      </c>
      <c r="E876" s="3">
        <v>9.9999999999999997E-48</v>
      </c>
      <c r="F876">
        <v>51.7</v>
      </c>
      <c r="G876" t="str">
        <f>HYPERLINK("https://www.ncbi.nlm.nih.gov/nucleotide/KJ892343.1?report=genbank&amp;log$=nucltop&amp;blast_rank=97&amp;RID=1CUCCVNH013","KJ892343.1")</f>
        <v>KJ892343.1</v>
      </c>
    </row>
    <row r="877" spans="1:7" x14ac:dyDescent="0.35">
      <c r="A877" t="s">
        <v>726</v>
      </c>
      <c r="B877">
        <v>169</v>
      </c>
      <c r="C877">
        <v>169</v>
      </c>
      <c r="D877" s="2">
        <v>0.63</v>
      </c>
      <c r="E877" s="3">
        <v>9.9999999999999997E-48</v>
      </c>
      <c r="F877">
        <v>52.38</v>
      </c>
      <c r="G877" t="str">
        <f>HYPERLINK("https://www.ncbi.nlm.nih.gov/nucleotide/XM_037454853.1?report=genbank&amp;log$=nucltop&amp;blast_rank=98&amp;RID=1CUCCVNH013","XM_037454853.1")</f>
        <v>XM_037454853.1</v>
      </c>
    </row>
    <row r="878" spans="1:7" x14ac:dyDescent="0.35">
      <c r="A878" t="s">
        <v>727</v>
      </c>
      <c r="B878">
        <v>168</v>
      </c>
      <c r="C878">
        <v>168</v>
      </c>
      <c r="D878" s="2">
        <v>0.63</v>
      </c>
      <c r="E878" s="3">
        <v>9.9999999999999997E-48</v>
      </c>
      <c r="F878">
        <v>52.38</v>
      </c>
      <c r="G878" t="str">
        <f>HYPERLINK("https://www.ncbi.nlm.nih.gov/nucleotide/XM_014200714.1?report=genbank&amp;log$=nucltop&amp;blast_rank=99&amp;RID=1CUCCVNH013","XM_014200714.1")</f>
        <v>XM_014200714.1</v>
      </c>
    </row>
    <row r="879" spans="1:7" x14ac:dyDescent="0.35">
      <c r="A879" t="s">
        <v>728</v>
      </c>
      <c r="B879">
        <v>169</v>
      </c>
      <c r="C879">
        <v>169</v>
      </c>
      <c r="D879" s="2">
        <v>0.63</v>
      </c>
      <c r="E879" s="3">
        <v>9.9999999999999997E-48</v>
      </c>
      <c r="F879">
        <v>52.38</v>
      </c>
      <c r="G879" t="str">
        <f>HYPERLINK("https://www.ncbi.nlm.nih.gov/nucleotide/XM_026371615.1?report=genbank&amp;log$=nucltop&amp;blast_rank=100&amp;RID=1CUCCVNH013","XM_026371615.1")</f>
        <v>XM_026371615.1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6D2E-57E0-4C59-A51B-8C25EFB26CAF}">
  <dimension ref="A1:G593"/>
  <sheetViews>
    <sheetView workbookViewId="0">
      <selection activeCell="A21" sqref="A21"/>
    </sheetView>
  </sheetViews>
  <sheetFormatPr defaultRowHeight="14.5" x14ac:dyDescent="0.35"/>
  <cols>
    <col min="1" max="1" width="88.26953125" bestFit="1" customWidth="1"/>
    <col min="2" max="2" width="9.54296875" bestFit="1" customWidth="1"/>
    <col min="3" max="3" width="10.08984375" bestFit="1" customWidth="1"/>
    <col min="4" max="4" width="11.1796875" bestFit="1" customWidth="1"/>
    <col min="5" max="6" width="9" bestFit="1" customWidth="1"/>
    <col min="7" max="7" width="15.1796875" bestFit="1" customWidth="1"/>
  </cols>
  <sheetData>
    <row r="1" spans="1:7" s="1" customFormat="1" x14ac:dyDescent="0.35">
      <c r="A1" s="1" t="s">
        <v>730</v>
      </c>
    </row>
    <row r="2" spans="1:7" x14ac:dyDescent="0.35">
      <c r="A2" s="1" t="s">
        <v>770</v>
      </c>
    </row>
    <row r="3" spans="1:7" x14ac:dyDescent="0.3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 x14ac:dyDescent="0.35">
      <c r="A4" t="s">
        <v>9</v>
      </c>
      <c r="B4">
        <v>152</v>
      </c>
      <c r="C4">
        <v>382</v>
      </c>
      <c r="D4" s="2">
        <v>0.93</v>
      </c>
      <c r="E4" s="3">
        <v>2.0000000000000001E-89</v>
      </c>
      <c r="F4">
        <v>60.56</v>
      </c>
      <c r="G4" t="str">
        <f>HYPERLINK("https://www.ncbi.nlm.nih.gov/nucleotide/LR732079.1?report=genbank&amp;log$=nucltop&amp;blast_rank=1&amp;RID=0FYPDR5X016","LR732079.1")</f>
        <v>LR732079.1</v>
      </c>
    </row>
    <row r="5" spans="1:7" x14ac:dyDescent="0.35">
      <c r="A5" t="s">
        <v>21</v>
      </c>
      <c r="B5">
        <v>220</v>
      </c>
      <c r="C5">
        <v>220</v>
      </c>
      <c r="D5" s="2">
        <v>0.69</v>
      </c>
      <c r="E5" s="3">
        <v>2.0000000000000001E-68</v>
      </c>
      <c r="F5">
        <v>58.42</v>
      </c>
      <c r="G5" t="str">
        <f>HYPERLINK("https://www.ncbi.nlm.nih.gov/nucleotide/XM_009546989.1?report=genbank&amp;log$=nucltop&amp;blast_rank=2&amp;RID=0FYPDR5X016","XM_009546989.1")</f>
        <v>XM_009546989.1</v>
      </c>
    </row>
    <row r="6" spans="1:7" x14ac:dyDescent="0.35">
      <c r="A6" t="s">
        <v>18</v>
      </c>
      <c r="B6">
        <v>152</v>
      </c>
      <c r="C6">
        <v>152</v>
      </c>
      <c r="D6" s="2">
        <v>0.46</v>
      </c>
      <c r="E6" s="3">
        <v>1.0000000000000001E-37</v>
      </c>
      <c r="F6">
        <v>55.7</v>
      </c>
      <c r="G6" t="str">
        <f>HYPERLINK("https://www.ncbi.nlm.nih.gov/nucleotide/CP015474.1?report=genbank&amp;log$=nucltop&amp;blast_rank=3&amp;RID=0FYPDR5X016","CP015474.1")</f>
        <v>CP015474.1</v>
      </c>
    </row>
    <row r="7" spans="1:7" x14ac:dyDescent="0.35">
      <c r="A7" t="s">
        <v>17</v>
      </c>
      <c r="B7">
        <v>152</v>
      </c>
      <c r="C7">
        <v>152</v>
      </c>
      <c r="D7" s="2">
        <v>0.46</v>
      </c>
      <c r="E7" s="3">
        <v>1.0000000000000001E-37</v>
      </c>
      <c r="F7">
        <v>55.7</v>
      </c>
      <c r="G7" t="str">
        <f>HYPERLINK("https://www.ncbi.nlm.nih.gov/nucleotide/CP015461.1?report=genbank&amp;log$=nucltop&amp;blast_rank=4&amp;RID=0FYPDR5X016","CP015461.1")</f>
        <v>CP015461.1</v>
      </c>
    </row>
    <row r="8" spans="1:7" x14ac:dyDescent="0.35">
      <c r="A8" t="s">
        <v>16</v>
      </c>
      <c r="B8">
        <v>152</v>
      </c>
      <c r="C8">
        <v>152</v>
      </c>
      <c r="D8" s="2">
        <v>0.46</v>
      </c>
      <c r="E8" s="3">
        <v>1.0000000000000001E-37</v>
      </c>
      <c r="F8">
        <v>55.7</v>
      </c>
      <c r="G8" t="str">
        <f>HYPERLINK("https://www.ncbi.nlm.nih.gov/nucleotide/CP039877.1?report=genbank&amp;log$=nucltop&amp;blast_rank=5&amp;RID=0FYPDR5X016","CP039877.1")</f>
        <v>CP039877.1</v>
      </c>
    </row>
    <row r="9" spans="1:7" x14ac:dyDescent="0.35">
      <c r="A9" t="s">
        <v>198</v>
      </c>
      <c r="B9">
        <v>257</v>
      </c>
      <c r="C9">
        <v>257</v>
      </c>
      <c r="D9" s="2">
        <v>0.93</v>
      </c>
      <c r="E9" s="3">
        <v>1.9999999999999999E-80</v>
      </c>
      <c r="F9">
        <v>53.57</v>
      </c>
      <c r="G9" t="str">
        <f>HYPERLINK("https://www.ncbi.nlm.nih.gov/nucleotide/XM_007870715.1?report=genbank&amp;log$=nucltop&amp;blast_rank=6&amp;RID=0FYPDR5X016","XM_007870715.1")</f>
        <v>XM_007870715.1</v>
      </c>
    </row>
    <row r="10" spans="1:7" x14ac:dyDescent="0.35">
      <c r="A10" t="s">
        <v>199</v>
      </c>
      <c r="B10">
        <v>254</v>
      </c>
      <c r="C10">
        <v>254</v>
      </c>
      <c r="D10" s="2">
        <v>0.93</v>
      </c>
      <c r="E10" s="3">
        <v>1E-79</v>
      </c>
      <c r="F10">
        <v>51.97</v>
      </c>
      <c r="G10" t="str">
        <f>HYPERLINK("https://www.ncbi.nlm.nih.gov/nucleotide/XM_007393489.1?report=genbank&amp;log$=nucltop&amp;blast_rank=7&amp;RID=0FYPDR5X016","XM_007393489.1")</f>
        <v>XM_007393489.1</v>
      </c>
    </row>
    <row r="11" spans="1:7" x14ac:dyDescent="0.35">
      <c r="A11" t="s">
        <v>204</v>
      </c>
      <c r="B11">
        <v>244</v>
      </c>
      <c r="C11">
        <v>244</v>
      </c>
      <c r="D11" s="2">
        <v>0.93</v>
      </c>
      <c r="E11" s="3">
        <v>3.9999999999999998E-75</v>
      </c>
      <c r="F11">
        <v>51.97</v>
      </c>
      <c r="G11" t="str">
        <f>HYPERLINK("https://www.ncbi.nlm.nih.gov/nucleotide/XM_008041438.1?report=genbank&amp;log$=nucltop&amp;blast_rank=8&amp;RID=0FYPDR5X016","XM_008041438.1")</f>
        <v>XM_008041438.1</v>
      </c>
    </row>
    <row r="12" spans="1:7" x14ac:dyDescent="0.35">
      <c r="A12" t="s">
        <v>201</v>
      </c>
      <c r="B12">
        <v>243</v>
      </c>
      <c r="C12">
        <v>243</v>
      </c>
      <c r="D12" s="2">
        <v>0.92</v>
      </c>
      <c r="E12" s="3">
        <v>5E-74</v>
      </c>
      <c r="F12">
        <v>51.79</v>
      </c>
      <c r="G12" t="str">
        <f>HYPERLINK("https://www.ncbi.nlm.nih.gov/nucleotide/XM_027763129.1?report=genbank&amp;log$=nucltop&amp;blast_rank=9&amp;RID=0FYPDR5X016","XM_027763129.1")</f>
        <v>XM_027763129.1</v>
      </c>
    </row>
    <row r="13" spans="1:7" x14ac:dyDescent="0.35">
      <c r="A13" t="s">
        <v>202</v>
      </c>
      <c r="B13">
        <v>246</v>
      </c>
      <c r="C13">
        <v>246</v>
      </c>
      <c r="D13" s="2">
        <v>0.93</v>
      </c>
      <c r="E13" s="3">
        <v>9.9999999999999993E-78</v>
      </c>
      <c r="F13">
        <v>51.19</v>
      </c>
      <c r="G13" t="str">
        <f>HYPERLINK("https://www.ncbi.nlm.nih.gov/nucleotide/XM_007389005.1?report=genbank&amp;log$=nucltop&amp;blast_rank=10&amp;RID=0FYPDR5X016","XM_007389005.1")</f>
        <v>XM_007389005.1</v>
      </c>
    </row>
    <row r="14" spans="1:7" x14ac:dyDescent="0.35">
      <c r="A14" t="s">
        <v>237</v>
      </c>
      <c r="B14">
        <v>124</v>
      </c>
      <c r="C14">
        <v>124</v>
      </c>
      <c r="D14" s="2">
        <v>0.49</v>
      </c>
      <c r="E14" s="3">
        <v>6.0000000000000001E-28</v>
      </c>
      <c r="F14">
        <v>51.08</v>
      </c>
      <c r="G14" t="str">
        <f>HYPERLINK("https://www.ncbi.nlm.nih.gov/nucleotide/MG777491.1?report=genbank&amp;log$=nucltop&amp;blast_rank=11&amp;RID=0FYPDR5X016","MG777491.1")</f>
        <v>MG777491.1</v>
      </c>
    </row>
    <row r="15" spans="1:7" x14ac:dyDescent="0.35">
      <c r="A15" s="4" t="s">
        <v>731</v>
      </c>
      <c r="B15" s="4">
        <v>116</v>
      </c>
      <c r="C15" s="4">
        <v>116</v>
      </c>
      <c r="D15" s="5">
        <v>0.51</v>
      </c>
      <c r="E15" s="6">
        <v>3.0000000000000001E-27</v>
      </c>
      <c r="F15" s="4">
        <v>51.03</v>
      </c>
      <c r="G15" s="4" t="str">
        <f>HYPERLINK("https://www.ncbi.nlm.nih.gov/nucleotide/XM_007824808.1?report=genbank&amp;log$=nucltop&amp;blast_rank=12&amp;RID=0FYPDR5X016","XM_007824808.1")</f>
        <v>XM_007824808.1</v>
      </c>
    </row>
    <row r="16" spans="1:7" x14ac:dyDescent="0.35">
      <c r="A16" t="s">
        <v>200</v>
      </c>
      <c r="B16">
        <v>238</v>
      </c>
      <c r="C16">
        <v>238</v>
      </c>
      <c r="D16" s="2">
        <v>0.9</v>
      </c>
      <c r="E16" s="3">
        <v>3.9999999999999997E-71</v>
      </c>
      <c r="F16">
        <v>50.41</v>
      </c>
      <c r="G16" t="str">
        <f>HYPERLINK("https://www.ncbi.nlm.nih.gov/nucleotide/XM_003029540.1?report=genbank&amp;log$=nucltop&amp;blast_rank=13&amp;RID=0FYPDR5X016","XM_003029540.1")</f>
        <v>XM_003029540.1</v>
      </c>
    </row>
    <row r="17" spans="1:7" x14ac:dyDescent="0.35">
      <c r="A17" s="4" t="s">
        <v>240</v>
      </c>
      <c r="B17" s="4">
        <v>117</v>
      </c>
      <c r="C17" s="4">
        <v>117</v>
      </c>
      <c r="D17" s="5">
        <v>0.51</v>
      </c>
      <c r="E17" s="6">
        <v>6.9999999999999999E-28</v>
      </c>
      <c r="F17" s="4">
        <v>50.34</v>
      </c>
      <c r="G17" s="4" t="str">
        <f>HYPERLINK("https://www.ncbi.nlm.nih.gov/nucleotide/XM_014691254.1?report=genbank&amp;log$=nucltop&amp;blast_rank=14&amp;RID=0FYPDR5X016","XM_014691254.1")</f>
        <v>XM_014691254.1</v>
      </c>
    </row>
    <row r="18" spans="1:7" x14ac:dyDescent="0.35">
      <c r="A18" t="s">
        <v>732</v>
      </c>
      <c r="B18">
        <v>115</v>
      </c>
      <c r="C18">
        <v>115</v>
      </c>
      <c r="D18" s="2">
        <v>0.51</v>
      </c>
      <c r="E18" s="3">
        <v>3.0000000000000001E-27</v>
      </c>
      <c r="F18">
        <v>50.34</v>
      </c>
      <c r="G18" t="str">
        <f>HYPERLINK("https://www.ncbi.nlm.nih.gov/nucleotide/XM_007810579.1?report=genbank&amp;log$=nucltop&amp;blast_rank=15&amp;RID=0FYPDR5X016","XM_007810579.1")</f>
        <v>XM_007810579.1</v>
      </c>
    </row>
    <row r="19" spans="1:7" x14ac:dyDescent="0.35">
      <c r="A19" t="s">
        <v>205</v>
      </c>
      <c r="B19">
        <v>230</v>
      </c>
      <c r="C19">
        <v>230</v>
      </c>
      <c r="D19" s="2">
        <v>0.91</v>
      </c>
      <c r="E19" s="3">
        <v>9.0000000000000004E-70</v>
      </c>
      <c r="F19">
        <v>49.4</v>
      </c>
      <c r="G19" t="str">
        <f>HYPERLINK("https://www.ncbi.nlm.nih.gov/nucleotide/XM_007318641.1?report=genbank&amp;log$=nucltop&amp;blast_rank=16&amp;RID=0FYPDR5X016","XM_007318641.1")</f>
        <v>XM_007318641.1</v>
      </c>
    </row>
    <row r="20" spans="1:7" x14ac:dyDescent="0.35">
      <c r="A20" t="s">
        <v>210</v>
      </c>
      <c r="B20">
        <v>122</v>
      </c>
      <c r="C20">
        <v>122</v>
      </c>
      <c r="D20" s="2">
        <v>0.53</v>
      </c>
      <c r="E20" s="3">
        <v>4.9999999999999999E-29</v>
      </c>
      <c r="F20">
        <v>49.33</v>
      </c>
      <c r="G20" t="str">
        <f>HYPERLINK("https://www.ncbi.nlm.nih.gov/nucleotide/XM_031139192.1?report=genbank&amp;log$=nucltop&amp;blast_rank=17&amp;RID=0FYPDR5X016","XM_031139192.1")</f>
        <v>XM_031139192.1</v>
      </c>
    </row>
    <row r="21" spans="1:7" x14ac:dyDescent="0.35">
      <c r="A21" t="s">
        <v>203</v>
      </c>
      <c r="B21">
        <v>222</v>
      </c>
      <c r="C21">
        <v>222</v>
      </c>
      <c r="D21" s="2">
        <v>0.91</v>
      </c>
      <c r="E21" s="3">
        <v>7.0000000000000003E-68</v>
      </c>
      <c r="F21">
        <v>49.21</v>
      </c>
      <c r="G21" t="str">
        <f>HYPERLINK("https://www.ncbi.nlm.nih.gov/nucleotide/XM_007263367.1?report=genbank&amp;log$=nucltop&amp;blast_rank=18&amp;RID=0FYPDR5X016","XM_007263367.1")</f>
        <v>XM_007263367.1</v>
      </c>
    </row>
    <row r="22" spans="1:7" x14ac:dyDescent="0.35">
      <c r="A22" t="s">
        <v>213</v>
      </c>
      <c r="B22">
        <v>141</v>
      </c>
      <c r="C22">
        <v>141</v>
      </c>
      <c r="D22" s="2">
        <v>0.57999999999999996</v>
      </c>
      <c r="E22" s="3">
        <v>1.9999999999999999E-36</v>
      </c>
      <c r="F22">
        <v>49.08</v>
      </c>
      <c r="G22" t="str">
        <f>HYPERLINK("https://www.ncbi.nlm.nih.gov/nucleotide/XM_037299585.1?report=genbank&amp;log$=nucltop&amp;blast_rank=19&amp;RID=0FYPDR5X016","XM_037299585.1")</f>
        <v>XM_037299585.1</v>
      </c>
    </row>
    <row r="23" spans="1:7" x14ac:dyDescent="0.35">
      <c r="A23" t="s">
        <v>214</v>
      </c>
      <c r="B23">
        <v>140</v>
      </c>
      <c r="C23">
        <v>140</v>
      </c>
      <c r="D23" s="2">
        <v>0.57999999999999996</v>
      </c>
      <c r="E23" s="3">
        <v>3.0000000000000002E-36</v>
      </c>
      <c r="F23">
        <v>49.08</v>
      </c>
      <c r="G23" t="str">
        <f>HYPERLINK("https://www.ncbi.nlm.nih.gov/nucleotide/XM_037307991.1?report=genbank&amp;log$=nucltop&amp;blast_rank=20&amp;RID=0FYPDR5X016","XM_037307991.1")</f>
        <v>XM_037307991.1</v>
      </c>
    </row>
    <row r="24" spans="1:7" x14ac:dyDescent="0.35">
      <c r="A24" t="s">
        <v>120</v>
      </c>
      <c r="B24">
        <v>240</v>
      </c>
      <c r="C24">
        <v>240</v>
      </c>
      <c r="D24" s="2">
        <v>0.93</v>
      </c>
      <c r="E24" s="3">
        <v>1.9999999999999999E-75</v>
      </c>
      <c r="F24">
        <v>49.01</v>
      </c>
      <c r="G24" t="str">
        <f>HYPERLINK("https://www.ncbi.nlm.nih.gov/nucleotide/XM_012328136.1?report=genbank&amp;log$=nucltop&amp;blast_rank=21&amp;RID=0FYPDR5X016","XM_012328136.1")</f>
        <v>XM_012328136.1</v>
      </c>
    </row>
    <row r="25" spans="1:7" x14ac:dyDescent="0.35">
      <c r="A25" t="s">
        <v>206</v>
      </c>
      <c r="B25">
        <v>237</v>
      </c>
      <c r="C25">
        <v>237</v>
      </c>
      <c r="D25" s="2">
        <v>0.92</v>
      </c>
      <c r="E25" s="3">
        <v>1.9999999999999999E-72</v>
      </c>
      <c r="F25">
        <v>48.8</v>
      </c>
      <c r="G25" t="str">
        <f>HYPERLINK("https://www.ncbi.nlm.nih.gov/nucleotide/XM_024477854.1?report=genbank&amp;log$=nucltop&amp;blast_rank=22&amp;RID=0FYPDR5X016","XM_024477854.1")</f>
        <v>XM_024477854.1</v>
      </c>
    </row>
    <row r="26" spans="1:7" x14ac:dyDescent="0.35">
      <c r="A26" t="s">
        <v>207</v>
      </c>
      <c r="B26">
        <v>231</v>
      </c>
      <c r="C26">
        <v>231</v>
      </c>
      <c r="D26" s="2">
        <v>0.92</v>
      </c>
      <c r="E26" s="3">
        <v>9.0000000000000004E-72</v>
      </c>
      <c r="F26">
        <v>48.8</v>
      </c>
      <c r="G26" t="str">
        <f>HYPERLINK("https://www.ncbi.nlm.nih.gov/nucleotide/XM_006459159.1?report=genbank&amp;log$=nucltop&amp;blast_rank=23&amp;RID=0FYPDR5X016","XM_006459159.1")</f>
        <v>XM_006459159.1</v>
      </c>
    </row>
    <row r="27" spans="1:7" x14ac:dyDescent="0.35">
      <c r="A27" t="s">
        <v>208</v>
      </c>
      <c r="B27">
        <v>229</v>
      </c>
      <c r="C27">
        <v>229</v>
      </c>
      <c r="D27" s="2">
        <v>0.92</v>
      </c>
      <c r="E27" s="3">
        <v>1.9999999999999998E-71</v>
      </c>
      <c r="F27">
        <v>48.64</v>
      </c>
      <c r="G27" t="str">
        <f>HYPERLINK("https://www.ncbi.nlm.nih.gov/nucleotide/XM_037359090.1?report=genbank&amp;log$=nucltop&amp;blast_rank=24&amp;RID=0FYPDR5X016","XM_037359090.1")</f>
        <v>XM_037359090.1</v>
      </c>
    </row>
    <row r="28" spans="1:7" x14ac:dyDescent="0.35">
      <c r="A28" s="4" t="s">
        <v>733</v>
      </c>
      <c r="B28" s="4">
        <v>117</v>
      </c>
      <c r="C28" s="4">
        <v>117</v>
      </c>
      <c r="D28" s="5">
        <v>0.56999999999999995</v>
      </c>
      <c r="E28" s="6">
        <v>2.0000000000000001E-27</v>
      </c>
      <c r="F28" s="4">
        <v>48.45</v>
      </c>
      <c r="G28" s="4" t="str">
        <f>HYPERLINK("https://www.ncbi.nlm.nih.gov/nucleotide/XM_022429673.1?report=genbank&amp;log$=nucltop&amp;blast_rank=25&amp;RID=0FYPDR5X016","XM_022429673.1")</f>
        <v>XM_022429673.1</v>
      </c>
    </row>
    <row r="29" spans="1:7" x14ac:dyDescent="0.35">
      <c r="A29" t="s">
        <v>244</v>
      </c>
      <c r="B29">
        <v>136</v>
      </c>
      <c r="C29">
        <v>136</v>
      </c>
      <c r="D29" s="2">
        <v>0.56000000000000005</v>
      </c>
      <c r="E29" s="3">
        <v>9.9999999999999993E-35</v>
      </c>
      <c r="F29">
        <v>47.8</v>
      </c>
      <c r="G29" t="str">
        <f>HYPERLINK("https://www.ncbi.nlm.nih.gov/nucleotide/XM_008081488.1?report=genbank&amp;log$=nucltop&amp;blast_rank=26&amp;RID=0FYPDR5X016","XM_008081488.1")</f>
        <v>XM_008081488.1</v>
      </c>
    </row>
    <row r="30" spans="1:7" x14ac:dyDescent="0.35">
      <c r="A30" t="s">
        <v>236</v>
      </c>
      <c r="B30">
        <v>117</v>
      </c>
      <c r="C30">
        <v>117</v>
      </c>
      <c r="D30" s="2">
        <v>0.55000000000000004</v>
      </c>
      <c r="E30" s="3">
        <v>6.0000000000000002E-27</v>
      </c>
      <c r="F30">
        <v>47.77</v>
      </c>
      <c r="G30" t="str">
        <f>HYPERLINK("https://www.ncbi.nlm.nih.gov/nucleotide/XM_003649649.1?report=genbank&amp;log$=nucltop&amp;blast_rank=27&amp;RID=0FYPDR5X016","XM_003649649.1")</f>
        <v>XM_003649649.1</v>
      </c>
    </row>
    <row r="31" spans="1:7" x14ac:dyDescent="0.35">
      <c r="A31" t="s">
        <v>248</v>
      </c>
      <c r="B31">
        <v>129</v>
      </c>
      <c r="C31">
        <v>129</v>
      </c>
      <c r="D31" s="2">
        <v>0.56000000000000005</v>
      </c>
      <c r="E31" s="3">
        <v>4.0000000000000003E-31</v>
      </c>
      <c r="F31">
        <v>47.5</v>
      </c>
      <c r="G31" t="str">
        <f>HYPERLINK("https://www.ncbi.nlm.nih.gov/nucleotide/XM_007930639.1?report=genbank&amp;log$=nucltop&amp;blast_rank=28&amp;RID=0FYPDR5X016","XM_007930639.1")</f>
        <v>XM_007930639.1</v>
      </c>
    </row>
    <row r="32" spans="1:7" x14ac:dyDescent="0.35">
      <c r="A32" t="s">
        <v>256</v>
      </c>
      <c r="B32">
        <v>124</v>
      </c>
      <c r="C32">
        <v>124</v>
      </c>
      <c r="D32" s="2">
        <v>0.54</v>
      </c>
      <c r="E32" s="3">
        <v>3E-28</v>
      </c>
      <c r="F32">
        <v>47.4</v>
      </c>
      <c r="G32" t="str">
        <f>HYPERLINK("https://www.ncbi.nlm.nih.gov/nucleotide/XM_031720476.1?report=genbank&amp;log$=nucltop&amp;blast_rank=29&amp;RID=0FYPDR5X016","XM_031720476.1")</f>
        <v>XM_031720476.1</v>
      </c>
    </row>
    <row r="33" spans="1:7" x14ac:dyDescent="0.35">
      <c r="A33" t="s">
        <v>247</v>
      </c>
      <c r="B33">
        <v>139</v>
      </c>
      <c r="C33">
        <v>139</v>
      </c>
      <c r="D33" s="2">
        <v>0.56999999999999995</v>
      </c>
      <c r="E33" s="3">
        <v>5.0000000000000003E-34</v>
      </c>
      <c r="F33">
        <v>47.2</v>
      </c>
      <c r="G33" t="str">
        <f>HYPERLINK("https://www.ncbi.nlm.nih.gov/nucleotide/XM_033744228.1?report=genbank&amp;log$=nucltop&amp;blast_rank=30&amp;RID=0FYPDR5X016","XM_033744228.1")</f>
        <v>XM_033744228.1</v>
      </c>
    </row>
    <row r="34" spans="1:7" x14ac:dyDescent="0.35">
      <c r="A34" t="s">
        <v>217</v>
      </c>
      <c r="B34">
        <v>229</v>
      </c>
      <c r="C34">
        <v>229</v>
      </c>
      <c r="D34" s="2">
        <v>0.92</v>
      </c>
      <c r="E34" s="3">
        <v>6.9999999999999998E-71</v>
      </c>
      <c r="F34">
        <v>47.2</v>
      </c>
      <c r="G34" t="str">
        <f>HYPERLINK("https://www.ncbi.nlm.nih.gov/nucleotide/XM_007362271.1?report=genbank&amp;log$=nucltop&amp;blast_rank=31&amp;RID=0FYPDR5X016","XM_007362271.1")</f>
        <v>XM_007362271.1</v>
      </c>
    </row>
    <row r="35" spans="1:7" x14ac:dyDescent="0.35">
      <c r="A35" t="s">
        <v>242</v>
      </c>
      <c r="B35">
        <v>134</v>
      </c>
      <c r="C35">
        <v>134</v>
      </c>
      <c r="D35" s="2">
        <v>0.55000000000000004</v>
      </c>
      <c r="E35" s="3">
        <v>9.0000000000000008E-34</v>
      </c>
      <c r="F35">
        <v>47.1</v>
      </c>
      <c r="G35" t="str">
        <f>HYPERLINK("https://www.ncbi.nlm.nih.gov/nucleotide/XM_007295640.1?report=genbank&amp;log$=nucltop&amp;blast_rank=32&amp;RID=0FYPDR5X016","XM_007295640.1")</f>
        <v>XM_007295640.1</v>
      </c>
    </row>
    <row r="36" spans="1:7" x14ac:dyDescent="0.35">
      <c r="A36" t="s">
        <v>216</v>
      </c>
      <c r="B36">
        <v>122</v>
      </c>
      <c r="C36">
        <v>122</v>
      </c>
      <c r="D36" s="2">
        <v>0.56999999999999995</v>
      </c>
      <c r="E36" s="3">
        <v>1.9999999999999999E-29</v>
      </c>
      <c r="F36">
        <v>46.88</v>
      </c>
      <c r="G36" t="str">
        <f>HYPERLINK("https://www.ncbi.nlm.nih.gov/nucleotide/XM_024034823.1?report=genbank&amp;log$=nucltop&amp;blast_rank=33&amp;RID=0FYPDR5X016","XM_024034823.1")</f>
        <v>XM_024034823.1</v>
      </c>
    </row>
    <row r="37" spans="1:7" x14ac:dyDescent="0.35">
      <c r="A37" t="s">
        <v>234</v>
      </c>
      <c r="B37">
        <v>122</v>
      </c>
      <c r="C37">
        <v>122</v>
      </c>
      <c r="D37" s="2">
        <v>0.56000000000000005</v>
      </c>
      <c r="E37" s="3">
        <v>7.9999999999999998E-28</v>
      </c>
      <c r="F37">
        <v>46.88</v>
      </c>
      <c r="G37" t="str">
        <f>HYPERLINK("https://www.ncbi.nlm.nih.gov/nucleotide/XM_003662060.1?report=genbank&amp;log$=nucltop&amp;blast_rank=34&amp;RID=0FYPDR5X016","XM_003662060.1")</f>
        <v>XM_003662060.1</v>
      </c>
    </row>
    <row r="38" spans="1:7" x14ac:dyDescent="0.35">
      <c r="A38" t="s">
        <v>279</v>
      </c>
      <c r="B38">
        <v>126</v>
      </c>
      <c r="C38">
        <v>126</v>
      </c>
      <c r="D38" s="2">
        <v>0.56000000000000005</v>
      </c>
      <c r="E38" s="3">
        <v>5.9999999999999996E-31</v>
      </c>
      <c r="F38">
        <v>46.84</v>
      </c>
      <c r="G38" t="str">
        <f>HYPERLINK("https://www.ncbi.nlm.nih.gov/nucleotide/XM_028635266.1?report=genbank&amp;log$=nucltop&amp;blast_rank=35&amp;RID=0FYPDR5X016","XM_028635266.1")</f>
        <v>XM_028635266.1</v>
      </c>
    </row>
    <row r="39" spans="1:7" x14ac:dyDescent="0.35">
      <c r="A39" t="s">
        <v>215</v>
      </c>
      <c r="B39">
        <v>218</v>
      </c>
      <c r="C39">
        <v>218</v>
      </c>
      <c r="D39" s="2">
        <v>0.93</v>
      </c>
      <c r="E39" s="3">
        <v>3.9999999999999998E-67</v>
      </c>
      <c r="F39">
        <v>46.83</v>
      </c>
      <c r="G39" t="str">
        <f>HYPERLINK("https://www.ncbi.nlm.nih.gov/nucleotide/XM_007299197.1?report=genbank&amp;log$=nucltop&amp;blast_rank=36&amp;RID=0FYPDR5X016","XM_007299197.1")</f>
        <v>XM_007299197.1</v>
      </c>
    </row>
    <row r="40" spans="1:7" x14ac:dyDescent="0.35">
      <c r="A40" t="s">
        <v>268</v>
      </c>
      <c r="B40">
        <v>123</v>
      </c>
      <c r="C40">
        <v>123</v>
      </c>
      <c r="D40" s="2">
        <v>0.5</v>
      </c>
      <c r="E40" s="3">
        <v>8.9999999999999993E-30</v>
      </c>
      <c r="F40">
        <v>46.81</v>
      </c>
      <c r="G40" t="str">
        <f>HYPERLINK("https://www.ncbi.nlm.nih.gov/nucleotide/XM_016742376.1?report=genbank&amp;log$=nucltop&amp;blast_rank=37&amp;RID=0FYPDR5X016","XM_016742376.1")</f>
        <v>XM_016742376.1</v>
      </c>
    </row>
    <row r="41" spans="1:7" x14ac:dyDescent="0.35">
      <c r="A41" t="s">
        <v>734</v>
      </c>
      <c r="B41">
        <v>122</v>
      </c>
      <c r="C41">
        <v>122</v>
      </c>
      <c r="D41" s="2">
        <v>0.55000000000000004</v>
      </c>
      <c r="E41" s="3">
        <v>5.0000000000000002E-28</v>
      </c>
      <c r="F41">
        <v>46.79</v>
      </c>
      <c r="G41" t="str">
        <f>HYPERLINK("https://www.ncbi.nlm.nih.gov/nucleotide/XM_012358740.1?report=genbank&amp;log$=nucltop&amp;blast_rank=38&amp;RID=0FYPDR5X016","XM_012358740.1")</f>
        <v>XM_012358740.1</v>
      </c>
    </row>
    <row r="42" spans="1:7" x14ac:dyDescent="0.35">
      <c r="A42" t="s">
        <v>139</v>
      </c>
      <c r="B42">
        <v>127</v>
      </c>
      <c r="C42">
        <v>127</v>
      </c>
      <c r="D42" s="2">
        <v>0.56000000000000005</v>
      </c>
      <c r="E42" s="3">
        <v>1.9999999999999999E-29</v>
      </c>
      <c r="F42">
        <v>46.54</v>
      </c>
      <c r="G42" t="str">
        <f>HYPERLINK("https://www.ncbi.nlm.nih.gov/nucleotide/XM_016366306.1?report=genbank&amp;log$=nucltop&amp;blast_rank=39&amp;RID=0FYPDR5X016","XM_016366306.1")</f>
        <v>XM_016366306.1</v>
      </c>
    </row>
    <row r="43" spans="1:7" x14ac:dyDescent="0.35">
      <c r="A43" t="s">
        <v>218</v>
      </c>
      <c r="B43">
        <v>138</v>
      </c>
      <c r="C43">
        <v>138</v>
      </c>
      <c r="D43" s="2">
        <v>0.56000000000000005</v>
      </c>
      <c r="E43" s="3">
        <v>2E-35</v>
      </c>
      <c r="F43">
        <v>46.5</v>
      </c>
      <c r="G43" t="str">
        <f>HYPERLINK("https://www.ncbi.nlm.nih.gov/nucleotide/XM_033831227.1?report=genbank&amp;log$=nucltop&amp;blast_rank=40&amp;RID=0FYPDR5X016","XM_033831227.1")</f>
        <v>XM_033831227.1</v>
      </c>
    </row>
    <row r="44" spans="1:7" x14ac:dyDescent="0.35">
      <c r="A44" t="s">
        <v>262</v>
      </c>
      <c r="B44">
        <v>122</v>
      </c>
      <c r="C44">
        <v>122</v>
      </c>
      <c r="D44" s="2">
        <v>0.55000000000000004</v>
      </c>
      <c r="E44" s="3">
        <v>3E-28</v>
      </c>
      <c r="F44">
        <v>46.45</v>
      </c>
      <c r="G44" t="str">
        <f>HYPERLINK("https://www.ncbi.nlm.nih.gov/nucleotide/XM_024881431.1?report=genbank&amp;log$=nucltop&amp;blast_rank=41&amp;RID=0FYPDR5X016","XM_024881431.1")</f>
        <v>XM_024881431.1</v>
      </c>
    </row>
    <row r="45" spans="1:7" x14ac:dyDescent="0.35">
      <c r="A45" t="s">
        <v>220</v>
      </c>
      <c r="B45">
        <v>116</v>
      </c>
      <c r="C45">
        <v>116</v>
      </c>
      <c r="D45" s="2">
        <v>0.54</v>
      </c>
      <c r="E45" s="3">
        <v>3.0000000000000001E-27</v>
      </c>
      <c r="F45">
        <v>46.41</v>
      </c>
      <c r="G45" t="str">
        <f>HYPERLINK("https://www.ncbi.nlm.nih.gov/nucleotide/XM_001819228.3?report=genbank&amp;log$=nucltop&amp;blast_rank=42&amp;RID=0FYPDR5X016","XM_001819228.3")</f>
        <v>XM_001819228.3</v>
      </c>
    </row>
    <row r="46" spans="1:7" x14ac:dyDescent="0.35">
      <c r="A46" t="s">
        <v>211</v>
      </c>
      <c r="B46">
        <v>120</v>
      </c>
      <c r="C46">
        <v>120</v>
      </c>
      <c r="D46" s="2">
        <v>0.56000000000000005</v>
      </c>
      <c r="E46" s="3">
        <v>1.9999999999999999E-28</v>
      </c>
      <c r="F46">
        <v>46.25</v>
      </c>
      <c r="G46" t="str">
        <f>HYPERLINK("https://www.ncbi.nlm.nih.gov/nucleotide/XM_014093215.1?report=genbank&amp;log$=nucltop&amp;blast_rank=43&amp;RID=0FYPDR5X016","XM_014093215.1")</f>
        <v>XM_014093215.1</v>
      </c>
    </row>
    <row r="47" spans="1:7" x14ac:dyDescent="0.35">
      <c r="A47" t="s">
        <v>107</v>
      </c>
      <c r="B47">
        <v>176</v>
      </c>
      <c r="C47">
        <v>250</v>
      </c>
      <c r="D47" s="2">
        <v>0.9</v>
      </c>
      <c r="E47" s="3">
        <v>2.9999999999999999E-50</v>
      </c>
      <c r="F47">
        <v>46.22</v>
      </c>
      <c r="G47" t="str">
        <f>HYPERLINK("https://www.ncbi.nlm.nih.gov/nucleotide/CP019380.1?report=genbank&amp;log$=nucltop&amp;blast_rank=44&amp;RID=0FYPDR5X016","CP019380.1")</f>
        <v>CP019380.1</v>
      </c>
    </row>
    <row r="48" spans="1:7" x14ac:dyDescent="0.35">
      <c r="A48" t="s">
        <v>249</v>
      </c>
      <c r="B48">
        <v>125</v>
      </c>
      <c r="C48">
        <v>125</v>
      </c>
      <c r="D48" s="2">
        <v>0.56000000000000005</v>
      </c>
      <c r="E48" s="3">
        <v>2.0000000000000002E-30</v>
      </c>
      <c r="F48">
        <v>46.2</v>
      </c>
      <c r="G48" t="str">
        <f>HYPERLINK("https://www.ncbi.nlm.nih.gov/nucleotide/XM_009650293.1?report=genbank&amp;log$=nucltop&amp;blast_rank=45&amp;RID=0FYPDR5X016","XM_009650293.1")</f>
        <v>XM_009650293.1</v>
      </c>
    </row>
    <row r="49" spans="1:7" x14ac:dyDescent="0.35">
      <c r="A49" t="s">
        <v>147</v>
      </c>
      <c r="B49">
        <v>122</v>
      </c>
      <c r="C49">
        <v>122</v>
      </c>
      <c r="D49" s="2">
        <v>0.56000000000000005</v>
      </c>
      <c r="E49" s="3">
        <v>3.9999999999999998E-29</v>
      </c>
      <c r="F49">
        <v>46.2</v>
      </c>
      <c r="G49" t="str">
        <f>HYPERLINK("https://www.ncbi.nlm.nih.gov/nucleotide/XM_007741154.1?report=genbank&amp;log$=nucltop&amp;blast_rank=46&amp;RID=0FYPDR5X016","XM_007741154.1")</f>
        <v>XM_007741154.1</v>
      </c>
    </row>
    <row r="50" spans="1:7" x14ac:dyDescent="0.35">
      <c r="A50" t="s">
        <v>148</v>
      </c>
      <c r="B50">
        <v>122</v>
      </c>
      <c r="C50">
        <v>122</v>
      </c>
      <c r="D50" s="2">
        <v>0.56000000000000005</v>
      </c>
      <c r="E50" s="3">
        <v>6.0000000000000005E-29</v>
      </c>
      <c r="F50">
        <v>46.2</v>
      </c>
      <c r="G50" t="str">
        <f>HYPERLINK("https://www.ncbi.nlm.nih.gov/nucleotide/XM_016758299.1?report=genbank&amp;log$=nucltop&amp;blast_rank=47&amp;RID=0FYPDR5X016","XM_016758299.1")</f>
        <v>XM_016758299.1</v>
      </c>
    </row>
    <row r="51" spans="1:7" x14ac:dyDescent="0.35">
      <c r="A51" t="s">
        <v>250</v>
      </c>
      <c r="B51">
        <v>126</v>
      </c>
      <c r="C51">
        <v>126</v>
      </c>
      <c r="D51" s="2">
        <v>0.56000000000000005</v>
      </c>
      <c r="E51" s="3">
        <v>8.9999999999999996E-29</v>
      </c>
      <c r="F51">
        <v>46.2</v>
      </c>
      <c r="G51" t="str">
        <f>HYPERLINK("https://www.ncbi.nlm.nih.gov/nucleotide/CP010980.1?report=genbank&amp;log$=nucltop&amp;blast_rank=48&amp;RID=0FYPDR5X016","CP010980.1")</f>
        <v>CP010980.1</v>
      </c>
    </row>
    <row r="52" spans="1:7" x14ac:dyDescent="0.35">
      <c r="A52" t="s">
        <v>251</v>
      </c>
      <c r="B52">
        <v>126</v>
      </c>
      <c r="C52">
        <v>126</v>
      </c>
      <c r="D52" s="2">
        <v>0.56000000000000005</v>
      </c>
      <c r="E52" s="3">
        <v>8.9999999999999996E-29</v>
      </c>
      <c r="F52">
        <v>46.2</v>
      </c>
      <c r="G52" t="str">
        <f>HYPERLINK("https://www.ncbi.nlm.nih.gov/nucleotide/CP009075.1?report=genbank&amp;log$=nucltop&amp;blast_rank=49&amp;RID=0FYPDR5X016","CP009075.1")</f>
        <v>CP009075.1</v>
      </c>
    </row>
    <row r="53" spans="1:7" x14ac:dyDescent="0.35">
      <c r="A53" t="s">
        <v>735</v>
      </c>
      <c r="B53">
        <v>119</v>
      </c>
      <c r="C53">
        <v>119</v>
      </c>
      <c r="D53" s="2">
        <v>0.55000000000000004</v>
      </c>
      <c r="E53" s="3">
        <v>3.9999999999999999E-28</v>
      </c>
      <c r="F53">
        <v>46.15</v>
      </c>
      <c r="G53" t="str">
        <f>HYPERLINK("https://www.ncbi.nlm.nih.gov/nucleotide/XM_003066843.1?report=genbank&amp;log$=nucltop&amp;blast_rank=50&amp;RID=0FYPDR5X016","XM_003066843.1")</f>
        <v>XM_003066843.1</v>
      </c>
    </row>
    <row r="54" spans="1:7" x14ac:dyDescent="0.35">
      <c r="A54" t="s">
        <v>271</v>
      </c>
      <c r="B54">
        <v>121</v>
      </c>
      <c r="C54">
        <v>121</v>
      </c>
      <c r="D54" s="2">
        <v>0.5</v>
      </c>
      <c r="E54" s="3">
        <v>3.9999999999999998E-29</v>
      </c>
      <c r="F54">
        <v>46.1</v>
      </c>
      <c r="G54" t="str">
        <f>HYPERLINK("https://www.ncbi.nlm.nih.gov/nucleotide/XM_014675514.1?report=genbank&amp;log$=nucltop&amp;blast_rank=51&amp;RID=0FYPDR5X016","XM_014675514.1")</f>
        <v>XM_014675514.1</v>
      </c>
    </row>
    <row r="55" spans="1:7" x14ac:dyDescent="0.35">
      <c r="A55" t="s">
        <v>224</v>
      </c>
      <c r="B55">
        <v>117</v>
      </c>
      <c r="C55">
        <v>117</v>
      </c>
      <c r="D55" s="2">
        <v>0.5</v>
      </c>
      <c r="E55" s="3">
        <v>1E-27</v>
      </c>
      <c r="F55">
        <v>46.1</v>
      </c>
      <c r="G55" t="str">
        <f>HYPERLINK("https://www.ncbi.nlm.nih.gov/nucleotide/XM_022626531.1?report=genbank&amp;log$=nucltop&amp;blast_rank=52&amp;RID=0FYPDR5X016","XM_022626531.1")</f>
        <v>XM_022626531.1</v>
      </c>
    </row>
    <row r="56" spans="1:7" x14ac:dyDescent="0.35">
      <c r="A56" t="s">
        <v>253</v>
      </c>
      <c r="B56">
        <v>134</v>
      </c>
      <c r="C56">
        <v>134</v>
      </c>
      <c r="D56" s="2">
        <v>0.56999999999999995</v>
      </c>
      <c r="E56" s="3">
        <v>1.0000000000000001E-32</v>
      </c>
      <c r="F56">
        <v>45.96</v>
      </c>
      <c r="G56" t="str">
        <f>HYPERLINK("https://www.ncbi.nlm.nih.gov/nucleotide/XM_033719977.1?report=genbank&amp;log$=nucltop&amp;blast_rank=53&amp;RID=0FYPDR5X016","XM_033719977.1")</f>
        <v>XM_033719977.1</v>
      </c>
    </row>
    <row r="57" spans="1:7" x14ac:dyDescent="0.35">
      <c r="A57" t="s">
        <v>265</v>
      </c>
      <c r="B57">
        <v>130</v>
      </c>
      <c r="C57">
        <v>130</v>
      </c>
      <c r="D57" s="2">
        <v>0.55000000000000004</v>
      </c>
      <c r="E57" s="3">
        <v>8.0000000000000007E-31</v>
      </c>
      <c r="F57">
        <v>45.81</v>
      </c>
      <c r="G57" t="str">
        <f>HYPERLINK("https://www.ncbi.nlm.nih.gov/nucleotide/XM_018215251.1?report=genbank&amp;log$=nucltop&amp;blast_rank=54&amp;RID=0FYPDR5X016","XM_018215251.1")</f>
        <v>XM_018215251.1</v>
      </c>
    </row>
    <row r="58" spans="1:7" x14ac:dyDescent="0.35">
      <c r="A58" t="s">
        <v>255</v>
      </c>
      <c r="B58">
        <v>132</v>
      </c>
      <c r="C58">
        <v>132</v>
      </c>
      <c r="D58" s="2">
        <v>0.55000000000000004</v>
      </c>
      <c r="E58" s="3">
        <v>1.0000000000000001E-31</v>
      </c>
      <c r="F58">
        <v>45.51</v>
      </c>
      <c r="G58" t="str">
        <f>HYPERLINK("https://www.ncbi.nlm.nih.gov/nucleotide/XM_033533880.1?report=genbank&amp;log$=nucltop&amp;blast_rank=55&amp;RID=0FYPDR5X016","XM_033533880.1")</f>
        <v>XM_033533880.1</v>
      </c>
    </row>
    <row r="59" spans="1:7" x14ac:dyDescent="0.35">
      <c r="A59" t="s">
        <v>264</v>
      </c>
      <c r="B59">
        <v>124</v>
      </c>
      <c r="C59">
        <v>124</v>
      </c>
      <c r="D59" s="2">
        <v>0.55000000000000004</v>
      </c>
      <c r="E59" s="3">
        <v>5.9999999999999998E-30</v>
      </c>
      <c r="F59">
        <v>45.51</v>
      </c>
      <c r="G59" t="str">
        <f>HYPERLINK("https://www.ncbi.nlm.nih.gov/nucleotide/XM_009154513.1?report=genbank&amp;log$=nucltop&amp;blast_rank=56&amp;RID=0FYPDR5X016","XM_009154513.1")</f>
        <v>XM_009154513.1</v>
      </c>
    </row>
    <row r="60" spans="1:7" x14ac:dyDescent="0.35">
      <c r="A60" t="s">
        <v>257</v>
      </c>
      <c r="B60">
        <v>127</v>
      </c>
      <c r="C60">
        <v>127</v>
      </c>
      <c r="D60" s="2">
        <v>0.56000000000000005</v>
      </c>
      <c r="E60" s="3">
        <v>2.9999999999999999E-30</v>
      </c>
      <c r="F60">
        <v>45</v>
      </c>
      <c r="G60" t="str">
        <f>HYPERLINK("https://www.ncbi.nlm.nih.gov/nucleotide/XM_003851169.1?report=genbank&amp;log$=nucltop&amp;blast_rank=57&amp;RID=0FYPDR5X016","XM_003851169.1")</f>
        <v>XM_003851169.1</v>
      </c>
    </row>
    <row r="61" spans="1:7" x14ac:dyDescent="0.35">
      <c r="A61" s="4" t="s">
        <v>223</v>
      </c>
      <c r="B61" s="4">
        <v>117</v>
      </c>
      <c r="C61" s="4">
        <v>117</v>
      </c>
      <c r="D61" s="5">
        <v>0.56000000000000005</v>
      </c>
      <c r="E61" s="6">
        <v>1E-27</v>
      </c>
      <c r="F61" s="4">
        <v>45</v>
      </c>
      <c r="G61" s="4" t="str">
        <f>HYPERLINK("https://www.ncbi.nlm.nih.gov/nucleotide/XM_018807475.1?report=genbank&amp;log$=nucltop&amp;blast_rank=58&amp;RID=0FYPDR5X016","XM_018807475.1")</f>
        <v>XM_018807475.1</v>
      </c>
    </row>
    <row r="62" spans="1:7" x14ac:dyDescent="0.35">
      <c r="A62" t="s">
        <v>156</v>
      </c>
      <c r="B62">
        <v>119</v>
      </c>
      <c r="C62">
        <v>119</v>
      </c>
      <c r="D62" s="2">
        <v>0.56000000000000005</v>
      </c>
      <c r="E62" s="3">
        <v>6.9999999999999999E-28</v>
      </c>
      <c r="F62">
        <v>44.94</v>
      </c>
      <c r="G62" t="str">
        <f>HYPERLINK("https://www.ncbi.nlm.nih.gov/nucleotide/XM_013428902.1?report=genbank&amp;log$=nucltop&amp;blast_rank=59&amp;RID=0FYPDR5X016","XM_013428902.1")</f>
        <v>XM_013428902.1</v>
      </c>
    </row>
    <row r="63" spans="1:7" x14ac:dyDescent="0.35">
      <c r="A63" t="s">
        <v>225</v>
      </c>
      <c r="B63">
        <v>124</v>
      </c>
      <c r="C63">
        <v>124</v>
      </c>
      <c r="D63" s="2">
        <v>0.55000000000000004</v>
      </c>
      <c r="E63" s="3">
        <v>9.9999999999999994E-30</v>
      </c>
      <c r="F63">
        <v>44.87</v>
      </c>
      <c r="G63" t="str">
        <f>HYPERLINK("https://www.ncbi.nlm.nih.gov/nucleotide/XM_007722025.1?report=genbank&amp;log$=nucltop&amp;blast_rank=60&amp;RID=0FYPDR5X016","XM_007722025.1")</f>
        <v>XM_007722025.1</v>
      </c>
    </row>
    <row r="64" spans="1:7" x14ac:dyDescent="0.35">
      <c r="A64" t="s">
        <v>177</v>
      </c>
      <c r="B64">
        <v>223</v>
      </c>
      <c r="C64">
        <v>223</v>
      </c>
      <c r="D64" s="2">
        <v>0.92</v>
      </c>
      <c r="E64" s="3">
        <v>9.9999999999999994E-68</v>
      </c>
      <c r="F64">
        <v>44.8</v>
      </c>
      <c r="G64" t="str">
        <f>HYPERLINK("https://www.ncbi.nlm.nih.gov/nucleotide/XM_007767661.1?report=genbank&amp;log$=nucltop&amp;blast_rank=61&amp;RID=0FYPDR5X016","XM_007767661.1")</f>
        <v>XM_007767661.1</v>
      </c>
    </row>
    <row r="65" spans="1:7" x14ac:dyDescent="0.35">
      <c r="A65" t="s">
        <v>231</v>
      </c>
      <c r="B65">
        <v>155</v>
      </c>
      <c r="C65">
        <v>155</v>
      </c>
      <c r="D65" s="2">
        <v>0.72</v>
      </c>
      <c r="E65" s="3">
        <v>2.0000000000000001E-42</v>
      </c>
      <c r="F65">
        <v>44.55</v>
      </c>
      <c r="G65" t="str">
        <f>HYPERLINK("https://www.ncbi.nlm.nih.gov/nucleotide/XM_011122679.1?report=genbank&amp;log$=nucltop&amp;blast_rank=62&amp;RID=0FYPDR5X016","XM_011122679.1")</f>
        <v>XM_011122679.1</v>
      </c>
    </row>
    <row r="66" spans="1:7" x14ac:dyDescent="0.35">
      <c r="A66" t="s">
        <v>736</v>
      </c>
      <c r="B66">
        <v>123</v>
      </c>
      <c r="C66">
        <v>123</v>
      </c>
      <c r="D66" s="2">
        <v>0.55000000000000004</v>
      </c>
      <c r="E66" s="3">
        <v>1E-27</v>
      </c>
      <c r="F66">
        <v>44.52</v>
      </c>
      <c r="G66" t="str">
        <f>HYPERLINK("https://www.ncbi.nlm.nih.gov/nucleotide/LS992273.1?report=genbank&amp;log$=nucltop&amp;blast_rank=63&amp;RID=0FYPDR5X016","LS992273.1")</f>
        <v>LS992273.1</v>
      </c>
    </row>
    <row r="67" spans="1:7" x14ac:dyDescent="0.35">
      <c r="A67" s="4" t="s">
        <v>260</v>
      </c>
      <c r="B67" s="4">
        <v>127</v>
      </c>
      <c r="C67" s="4">
        <v>127</v>
      </c>
      <c r="D67" s="5">
        <v>0.56999999999999995</v>
      </c>
      <c r="E67" s="6">
        <v>2.9999999999999998E-31</v>
      </c>
      <c r="F67" s="4">
        <v>44.44</v>
      </c>
      <c r="G67" s="4" t="str">
        <f>HYPERLINK("https://www.ncbi.nlm.nih.gov/nucleotide/XM_023769316.1?report=genbank&amp;log$=nucltop&amp;blast_rank=64&amp;RID=0FYPDR5X016","XM_023769316.1")</f>
        <v>XM_023769316.1</v>
      </c>
    </row>
    <row r="68" spans="1:7" x14ac:dyDescent="0.35">
      <c r="A68" t="s">
        <v>273</v>
      </c>
      <c r="B68">
        <v>121</v>
      </c>
      <c r="C68">
        <v>121</v>
      </c>
      <c r="D68" s="2">
        <v>0.56000000000000005</v>
      </c>
      <c r="E68" s="3">
        <v>9.9999999999999997E-29</v>
      </c>
      <c r="F68">
        <v>44.3</v>
      </c>
      <c r="G68" t="str">
        <f>HYPERLINK("https://www.ncbi.nlm.nih.gov/nucleotide/XM_007788590.1?report=genbank&amp;log$=nucltop&amp;blast_rank=65&amp;RID=0FYPDR5X016","XM_007788590.1")</f>
        <v>XM_007788590.1</v>
      </c>
    </row>
    <row r="69" spans="1:7" x14ac:dyDescent="0.35">
      <c r="A69" t="s">
        <v>226</v>
      </c>
      <c r="B69">
        <v>119</v>
      </c>
      <c r="C69">
        <v>119</v>
      </c>
      <c r="D69" s="2">
        <v>0.56000000000000005</v>
      </c>
      <c r="E69" s="3">
        <v>1E-27</v>
      </c>
      <c r="F69">
        <v>44.3</v>
      </c>
      <c r="G69" t="str">
        <f>HYPERLINK("https://www.ncbi.nlm.nih.gov/nucleotide/XM_022653627.1?report=genbank&amp;log$=nucltop&amp;blast_rank=66&amp;RID=0FYPDR5X016","XM_022653627.1")</f>
        <v>XM_022653627.1</v>
      </c>
    </row>
    <row r="70" spans="1:7" x14ac:dyDescent="0.35">
      <c r="A70" t="s">
        <v>227</v>
      </c>
      <c r="B70">
        <v>118</v>
      </c>
      <c r="C70">
        <v>118</v>
      </c>
      <c r="D70" s="2">
        <v>0.56000000000000005</v>
      </c>
      <c r="E70" s="3">
        <v>2.0000000000000001E-27</v>
      </c>
      <c r="F70">
        <v>44.3</v>
      </c>
      <c r="G70" t="str">
        <f>HYPERLINK("https://www.ncbi.nlm.nih.gov/nucleotide/XM_022645436.1?report=genbank&amp;log$=nucltop&amp;blast_rank=67&amp;RID=0FYPDR5X016","XM_022645436.1")</f>
        <v>XM_022645436.1</v>
      </c>
    </row>
    <row r="71" spans="1:7" x14ac:dyDescent="0.35">
      <c r="A71" t="s">
        <v>191</v>
      </c>
      <c r="B71">
        <v>119</v>
      </c>
      <c r="C71">
        <v>119</v>
      </c>
      <c r="D71" s="2">
        <v>0.55000000000000004</v>
      </c>
      <c r="E71" s="3">
        <v>7.9999999999999998E-28</v>
      </c>
      <c r="F71">
        <v>44.23</v>
      </c>
      <c r="G71" t="str">
        <f>HYPERLINK("https://www.ncbi.nlm.nih.gov/nucleotide/XM_016379292.1?report=genbank&amp;log$=nucltop&amp;blast_rank=68&amp;RID=0FYPDR5X016","XM_016379292.1")</f>
        <v>XM_016379292.1</v>
      </c>
    </row>
    <row r="72" spans="1:7" x14ac:dyDescent="0.35">
      <c r="A72" t="s">
        <v>228</v>
      </c>
      <c r="B72">
        <v>121</v>
      </c>
      <c r="C72">
        <v>121</v>
      </c>
      <c r="D72" s="2">
        <v>0.54</v>
      </c>
      <c r="E72" s="3">
        <v>4.0000000000000002E-27</v>
      </c>
      <c r="F72">
        <v>44.23</v>
      </c>
      <c r="G72" t="str">
        <f>HYPERLINK("https://www.ncbi.nlm.nih.gov/nucleotide/LR026965.1?report=genbank&amp;log$=nucltop&amp;blast_rank=69&amp;RID=0FYPDR5X016","LR026965.1")</f>
        <v>LR026965.1</v>
      </c>
    </row>
    <row r="73" spans="1:7" x14ac:dyDescent="0.35">
      <c r="A73" t="s">
        <v>229</v>
      </c>
      <c r="B73">
        <v>121</v>
      </c>
      <c r="C73">
        <v>121</v>
      </c>
      <c r="D73" s="2">
        <v>0.54</v>
      </c>
      <c r="E73" s="3">
        <v>6.0000000000000002E-27</v>
      </c>
      <c r="F73">
        <v>44.23</v>
      </c>
      <c r="G73" t="str">
        <f>HYPERLINK("https://www.ncbi.nlm.nih.gov/nucleotide/CU640366.1?report=genbank&amp;log$=nucltop&amp;blast_rank=70&amp;RID=0FYPDR5X016","CU640366.1")</f>
        <v>CU640366.1</v>
      </c>
    </row>
    <row r="74" spans="1:7" x14ac:dyDescent="0.35">
      <c r="A74" t="s">
        <v>230</v>
      </c>
      <c r="B74">
        <v>121</v>
      </c>
      <c r="C74">
        <v>121</v>
      </c>
      <c r="D74" s="2">
        <v>0.54</v>
      </c>
      <c r="E74" s="3">
        <v>6.0000000000000002E-27</v>
      </c>
      <c r="F74">
        <v>44.23</v>
      </c>
      <c r="G74" t="str">
        <f>HYPERLINK("https://www.ncbi.nlm.nih.gov/nucleotide/FO904937.1?report=genbank&amp;log$=nucltop&amp;blast_rank=71&amp;RID=0FYPDR5X016","FO904937.1")</f>
        <v>FO904937.1</v>
      </c>
    </row>
    <row r="75" spans="1:7" x14ac:dyDescent="0.35">
      <c r="A75" t="s">
        <v>258</v>
      </c>
      <c r="B75">
        <v>125</v>
      </c>
      <c r="C75">
        <v>125</v>
      </c>
      <c r="D75" s="2">
        <v>0.55000000000000004</v>
      </c>
      <c r="E75" s="3">
        <v>1.0000000000000001E-30</v>
      </c>
      <c r="F75">
        <v>44.16</v>
      </c>
      <c r="G75" t="str">
        <f>HYPERLINK("https://www.ncbi.nlm.nih.gov/nucleotide/XM_019169675.1?report=genbank&amp;log$=nucltop&amp;blast_rank=72&amp;RID=0FYPDR5X016","XM_019169675.1")</f>
        <v>XM_019169675.1</v>
      </c>
    </row>
    <row r="76" spans="1:7" x14ac:dyDescent="0.35">
      <c r="A76" t="s">
        <v>737</v>
      </c>
      <c r="B76">
        <v>115</v>
      </c>
      <c r="C76">
        <v>115</v>
      </c>
      <c r="D76" s="2">
        <v>0.51</v>
      </c>
      <c r="E76" s="3">
        <v>4.0000000000000002E-27</v>
      </c>
      <c r="F76">
        <v>43.84</v>
      </c>
      <c r="G76" t="str">
        <f>HYPERLINK("https://www.ncbi.nlm.nih.gov/nucleotide/XM_022634861.1?report=genbank&amp;log$=nucltop&amp;blast_rank=73&amp;RID=0FYPDR5X016","XM_022634861.1")</f>
        <v>XM_022634861.1</v>
      </c>
    </row>
    <row r="77" spans="1:7" x14ac:dyDescent="0.35">
      <c r="A77" t="s">
        <v>612</v>
      </c>
      <c r="B77">
        <v>117</v>
      </c>
      <c r="C77">
        <v>117</v>
      </c>
      <c r="D77" s="2">
        <v>0.56999999999999995</v>
      </c>
      <c r="E77" s="3">
        <v>3.9999999999999999E-28</v>
      </c>
      <c r="F77">
        <v>43.75</v>
      </c>
      <c r="G77" t="str">
        <f>HYPERLINK("https://www.ncbi.nlm.nih.gov/nucleotide/XM_013574460.1?report=genbank&amp;log$=nucltop&amp;blast_rank=74&amp;RID=0FYPDR5X016","XM_013574460.1")</f>
        <v>XM_013574460.1</v>
      </c>
    </row>
    <row r="78" spans="1:7" x14ac:dyDescent="0.35">
      <c r="A78" t="s">
        <v>135</v>
      </c>
      <c r="B78">
        <v>117</v>
      </c>
      <c r="C78">
        <v>117</v>
      </c>
      <c r="D78" s="2">
        <v>0.55000000000000004</v>
      </c>
      <c r="E78" s="3">
        <v>4.0000000000000002E-27</v>
      </c>
      <c r="F78">
        <v>43.59</v>
      </c>
      <c r="G78" t="str">
        <f>HYPERLINK("https://www.ncbi.nlm.nih.gov/nucleotide/XM_007737879.1?report=genbank&amp;log$=nucltop&amp;blast_rank=75&amp;RID=0FYPDR5X016","XM_007737879.1")</f>
        <v>XM_007737879.1</v>
      </c>
    </row>
    <row r="79" spans="1:7" x14ac:dyDescent="0.35">
      <c r="A79" t="s">
        <v>272</v>
      </c>
      <c r="B79">
        <v>124</v>
      </c>
      <c r="C79">
        <v>124</v>
      </c>
      <c r="D79" s="2">
        <v>0.56000000000000005</v>
      </c>
      <c r="E79" s="3">
        <v>1.9999999999999999E-29</v>
      </c>
      <c r="F79">
        <v>43.48</v>
      </c>
      <c r="G79" t="str">
        <f>HYPERLINK("https://www.ncbi.nlm.nih.gov/nucleotide/XM_001911327.1?report=genbank&amp;log$=nucltop&amp;blast_rank=76&amp;RID=0FYPDR5X016","XM_001911327.1")</f>
        <v>XM_001911327.1</v>
      </c>
    </row>
    <row r="80" spans="1:7" x14ac:dyDescent="0.35">
      <c r="A80" t="s">
        <v>243</v>
      </c>
      <c r="B80">
        <v>122</v>
      </c>
      <c r="C80">
        <v>122</v>
      </c>
      <c r="D80" s="2">
        <v>0.56000000000000005</v>
      </c>
      <c r="E80" s="3">
        <v>4.9999999999999999E-29</v>
      </c>
      <c r="F80">
        <v>42.68</v>
      </c>
      <c r="G80" t="str">
        <f>HYPERLINK("https://www.ncbi.nlm.nih.gov/nucleotide/XM_033536932.1?report=genbank&amp;log$=nucltop&amp;blast_rank=77&amp;RID=0FYPDR5X016","XM_033536932.1")</f>
        <v>XM_033536932.1</v>
      </c>
    </row>
    <row r="81" spans="1:7" x14ac:dyDescent="0.35">
      <c r="A81" t="s">
        <v>245</v>
      </c>
      <c r="B81">
        <v>187</v>
      </c>
      <c r="C81">
        <v>187</v>
      </c>
      <c r="D81" s="2">
        <v>0.9</v>
      </c>
      <c r="E81" s="3">
        <v>5.0000000000000002E-55</v>
      </c>
      <c r="F81">
        <v>42.44</v>
      </c>
      <c r="G81" t="str">
        <f>HYPERLINK("https://www.ncbi.nlm.nih.gov/nucleotide/XM_001836371.2?report=genbank&amp;log$=nucltop&amp;blast_rank=78&amp;RID=0FYPDR5X016","XM_001836371.2")</f>
        <v>XM_001836371.2</v>
      </c>
    </row>
    <row r="82" spans="1:7" x14ac:dyDescent="0.35">
      <c r="A82" t="s">
        <v>232</v>
      </c>
      <c r="B82">
        <v>140</v>
      </c>
      <c r="C82">
        <v>140</v>
      </c>
      <c r="D82" s="2">
        <v>0.78</v>
      </c>
      <c r="E82" s="3">
        <v>3.9999999999999998E-36</v>
      </c>
      <c r="F82">
        <v>42.4</v>
      </c>
      <c r="G82" t="str">
        <f>HYPERLINK("https://www.ncbi.nlm.nih.gov/nucleotide/XM_003352052.1?report=genbank&amp;log$=nucltop&amp;blast_rank=79&amp;RID=0FYPDR5X016","XM_003352052.1")</f>
        <v>XM_003352052.1</v>
      </c>
    </row>
    <row r="83" spans="1:7" x14ac:dyDescent="0.35">
      <c r="A83" t="s">
        <v>269</v>
      </c>
      <c r="B83">
        <v>127</v>
      </c>
      <c r="C83">
        <v>127</v>
      </c>
      <c r="D83" s="2">
        <v>0.56000000000000005</v>
      </c>
      <c r="E83" s="3">
        <v>5.9999999999999996E-31</v>
      </c>
      <c r="F83">
        <v>42.04</v>
      </c>
      <c r="G83" t="str">
        <f>HYPERLINK("https://www.ncbi.nlm.nih.gov/nucleotide/XM_028655763.1?report=genbank&amp;log$=nucltop&amp;blast_rank=80&amp;RID=0FYPDR5X016","XM_028655763.1")</f>
        <v>XM_028655763.1</v>
      </c>
    </row>
    <row r="84" spans="1:7" x14ac:dyDescent="0.35">
      <c r="A84" t="s">
        <v>270</v>
      </c>
      <c r="B84">
        <v>127</v>
      </c>
      <c r="C84">
        <v>127</v>
      </c>
      <c r="D84" s="2">
        <v>0.56000000000000005</v>
      </c>
      <c r="E84" s="3">
        <v>5.9999999999999996E-31</v>
      </c>
      <c r="F84">
        <v>42.04</v>
      </c>
      <c r="G84" t="str">
        <f>HYPERLINK("https://www.ncbi.nlm.nih.gov/nucleotide/XM_018534397.1?report=genbank&amp;log$=nucltop&amp;blast_rank=81&amp;RID=0FYPDR5X016","XM_018534397.1")</f>
        <v>XM_018534397.1</v>
      </c>
    </row>
    <row r="85" spans="1:7" x14ac:dyDescent="0.35">
      <c r="A85" s="4" t="s">
        <v>235</v>
      </c>
      <c r="B85" s="4">
        <v>135</v>
      </c>
      <c r="C85" s="4">
        <v>135</v>
      </c>
      <c r="D85" s="5">
        <v>0.78</v>
      </c>
      <c r="E85" s="6">
        <v>3E-32</v>
      </c>
      <c r="F85" s="4">
        <v>41.47</v>
      </c>
      <c r="G85" s="4" t="str">
        <f>HYPERLINK("https://www.ncbi.nlm.nih.gov/nucleotide/XM_955647.2?report=genbank&amp;log$=nucltop&amp;blast_rank=82&amp;RID=0FYPDR5X016","XM_955647.2")</f>
        <v>XM_955647.2</v>
      </c>
    </row>
    <row r="86" spans="1:7" x14ac:dyDescent="0.35">
      <c r="A86" t="s">
        <v>239</v>
      </c>
      <c r="B86">
        <v>135</v>
      </c>
      <c r="C86">
        <v>135</v>
      </c>
      <c r="D86" s="2">
        <v>0.77</v>
      </c>
      <c r="E86" s="3">
        <v>1.0000000000000001E-31</v>
      </c>
      <c r="F86">
        <v>41.12</v>
      </c>
      <c r="G86" t="str">
        <f>HYPERLINK("https://www.ncbi.nlm.nih.gov/nucleotide/AL451013.1?report=genbank&amp;log$=nucltop&amp;blast_rank=83&amp;RID=0FYPDR5X016","AL451013.1")</f>
        <v>AL451013.1</v>
      </c>
    </row>
    <row r="87" spans="1:7" x14ac:dyDescent="0.35">
      <c r="A87" t="s">
        <v>278</v>
      </c>
      <c r="B87">
        <v>125</v>
      </c>
      <c r="C87">
        <v>125</v>
      </c>
      <c r="D87" s="2">
        <v>0.57999999999999996</v>
      </c>
      <c r="E87" s="3">
        <v>1.9999999999999999E-29</v>
      </c>
      <c r="F87">
        <v>41.1</v>
      </c>
      <c r="G87" t="str">
        <f>HYPERLINK("https://www.ncbi.nlm.nih.gov/nucleotide/XM_001933154.1?report=genbank&amp;log$=nucltop&amp;blast_rank=84&amp;RID=0FYPDR5X016","XM_001933154.1")</f>
        <v>XM_001933154.1</v>
      </c>
    </row>
    <row r="88" spans="1:7" x14ac:dyDescent="0.35">
      <c r="A88" t="s">
        <v>246</v>
      </c>
      <c r="B88">
        <v>132</v>
      </c>
      <c r="C88">
        <v>132</v>
      </c>
      <c r="D88" s="2">
        <v>0.78</v>
      </c>
      <c r="E88" s="3">
        <v>2.0000000000000001E-32</v>
      </c>
      <c r="F88">
        <v>40.549999999999997</v>
      </c>
      <c r="G88" t="str">
        <f>HYPERLINK("https://www.ncbi.nlm.nih.gov/nucleotide/XM_009850061.1?report=genbank&amp;log$=nucltop&amp;blast_rank=85&amp;RID=0FYPDR5X016","XM_009850061.1")</f>
        <v>XM_009850061.1</v>
      </c>
    </row>
    <row r="89" spans="1:7" x14ac:dyDescent="0.35">
      <c r="A89" t="s">
        <v>238</v>
      </c>
      <c r="B89">
        <v>132</v>
      </c>
      <c r="C89">
        <v>132</v>
      </c>
      <c r="D89" s="2">
        <v>0.78</v>
      </c>
      <c r="E89" s="3">
        <v>3E-32</v>
      </c>
      <c r="F89">
        <v>40.28</v>
      </c>
      <c r="G89" t="str">
        <f>HYPERLINK("https://www.ncbi.nlm.nih.gov/nucleotide/XM_018328867.1?report=genbank&amp;log$=nucltop&amp;blast_rank=86&amp;RID=0FYPDR5X016","XM_018328867.1")</f>
        <v>XM_018328867.1</v>
      </c>
    </row>
    <row r="90" spans="1:7" x14ac:dyDescent="0.35">
      <c r="A90" t="s">
        <v>254</v>
      </c>
      <c r="B90">
        <v>139</v>
      </c>
      <c r="C90">
        <v>139</v>
      </c>
      <c r="D90" s="2">
        <v>0.78</v>
      </c>
      <c r="E90" s="3">
        <v>3.9999999999999998E-36</v>
      </c>
      <c r="F90">
        <v>39.81</v>
      </c>
      <c r="G90" t="str">
        <f>HYPERLINK("https://www.ncbi.nlm.nih.gov/nucleotide/XM_018276579.1?report=genbank&amp;log$=nucltop&amp;blast_rank=87&amp;RID=0FYPDR5X016","XM_018276579.1")</f>
        <v>XM_018276579.1</v>
      </c>
    </row>
    <row r="91" spans="1:7" x14ac:dyDescent="0.35">
      <c r="A91" t="s">
        <v>282</v>
      </c>
      <c r="B91">
        <v>140</v>
      </c>
      <c r="C91">
        <v>140</v>
      </c>
      <c r="D91" s="2">
        <v>0.74</v>
      </c>
      <c r="E91" s="3">
        <v>3.0000000000000002E-36</v>
      </c>
      <c r="F91">
        <v>39.71</v>
      </c>
      <c r="G91" t="str">
        <f>HYPERLINK("https://www.ncbi.nlm.nih.gov/nucleotide/XM_031153619.1?report=genbank&amp;log$=nucltop&amp;blast_rank=88&amp;RID=0FYPDR5X016","XM_031153619.1")</f>
        <v>XM_031153619.1</v>
      </c>
    </row>
    <row r="92" spans="1:7" x14ac:dyDescent="0.35">
      <c r="A92" t="s">
        <v>233</v>
      </c>
      <c r="B92">
        <v>151</v>
      </c>
      <c r="C92">
        <v>151</v>
      </c>
      <c r="D92" s="2">
        <v>0.91</v>
      </c>
      <c r="E92" s="3">
        <v>9.9999999999999993E-41</v>
      </c>
      <c r="F92">
        <v>39.520000000000003</v>
      </c>
      <c r="G92" t="str">
        <f>HYPERLINK("https://www.ncbi.nlm.nih.gov/nucleotide/XM_002842253.1?report=genbank&amp;log$=nucltop&amp;blast_rank=89&amp;RID=0FYPDR5X016","XM_002842253.1")</f>
        <v>XM_002842253.1</v>
      </c>
    </row>
    <row r="93" spans="1:7" x14ac:dyDescent="0.35">
      <c r="A93" t="s">
        <v>252</v>
      </c>
      <c r="B93">
        <v>127</v>
      </c>
      <c r="C93">
        <v>127</v>
      </c>
      <c r="D93" s="2">
        <v>0.8</v>
      </c>
      <c r="E93" s="3">
        <v>6.9999999999999997E-31</v>
      </c>
      <c r="F93">
        <v>38.18</v>
      </c>
      <c r="G93" t="str">
        <f>HYPERLINK("https://www.ncbi.nlm.nih.gov/nucleotide/XM_018174954.1?report=genbank&amp;log$=nucltop&amp;blast_rank=90&amp;RID=0FYPDR5X016","XM_018174954.1")</f>
        <v>XM_018174954.1</v>
      </c>
    </row>
    <row r="94" spans="1:7" x14ac:dyDescent="0.35">
      <c r="A94" t="s">
        <v>266</v>
      </c>
      <c r="B94">
        <v>131</v>
      </c>
      <c r="C94">
        <v>131</v>
      </c>
      <c r="D94" s="2">
        <v>0.82</v>
      </c>
      <c r="E94" s="3">
        <v>2.0000000000000002E-31</v>
      </c>
      <c r="F94">
        <v>38.049999999999997</v>
      </c>
      <c r="G94" t="str">
        <f>HYPERLINK("https://www.ncbi.nlm.nih.gov/nucleotide/XM_007683500.1?report=genbank&amp;log$=nucltop&amp;blast_rank=91&amp;RID=0FYPDR5X016","XM_007683500.1")</f>
        <v>XM_007683500.1</v>
      </c>
    </row>
    <row r="95" spans="1:7" x14ac:dyDescent="0.35">
      <c r="A95" t="s">
        <v>259</v>
      </c>
      <c r="B95">
        <v>124</v>
      </c>
      <c r="C95">
        <v>124</v>
      </c>
      <c r="D95" s="2">
        <v>0.79</v>
      </c>
      <c r="E95" s="3">
        <v>4.0000000000000003E-30</v>
      </c>
      <c r="F95">
        <v>37.44</v>
      </c>
      <c r="G95" t="str">
        <f>HYPERLINK("https://www.ncbi.nlm.nih.gov/nucleotide/XM_033805656.1?report=genbank&amp;log$=nucltop&amp;blast_rank=92&amp;RID=0FYPDR5X016","XM_033805656.1")</f>
        <v>XM_033805656.1</v>
      </c>
    </row>
    <row r="96" spans="1:7" x14ac:dyDescent="0.35">
      <c r="A96" t="s">
        <v>274</v>
      </c>
      <c r="B96">
        <v>126</v>
      </c>
      <c r="C96">
        <v>126</v>
      </c>
      <c r="D96" s="2">
        <v>0.72</v>
      </c>
      <c r="E96" s="3">
        <v>1.0000000000000001E-30</v>
      </c>
      <c r="F96">
        <v>37.25</v>
      </c>
      <c r="G96" t="str">
        <f>HYPERLINK("https://www.ncbi.nlm.nih.gov/nucleotide/XM_008033263.1?report=genbank&amp;log$=nucltop&amp;blast_rank=93&amp;RID=0FYPDR5X016","XM_008033263.1")</f>
        <v>XM_008033263.1</v>
      </c>
    </row>
    <row r="97" spans="1:7" x14ac:dyDescent="0.35">
      <c r="A97" s="4" t="s">
        <v>738</v>
      </c>
      <c r="B97" s="4">
        <v>117</v>
      </c>
      <c r="C97" s="4">
        <v>117</v>
      </c>
      <c r="D97" s="5">
        <v>0.78</v>
      </c>
      <c r="E97" s="6">
        <v>3.0000000000000001E-27</v>
      </c>
      <c r="F97" s="4">
        <v>36.57</v>
      </c>
      <c r="G97" s="4" t="str">
        <f>HYPERLINK("https://www.ncbi.nlm.nih.gov/nucleotide/XM_035465282.1?report=genbank&amp;log$=nucltop&amp;blast_rank=94&amp;RID=0FYPDR5X016","XM_035465282.1")</f>
        <v>XM_035465282.1</v>
      </c>
    </row>
    <row r="98" spans="1:7" x14ac:dyDescent="0.35">
      <c r="A98" t="s">
        <v>739</v>
      </c>
      <c r="B98">
        <v>120</v>
      </c>
      <c r="C98">
        <v>120</v>
      </c>
      <c r="D98" s="2">
        <v>0.88</v>
      </c>
      <c r="E98" s="3">
        <v>5.0000000000000002E-27</v>
      </c>
      <c r="F98">
        <v>36.549999999999997</v>
      </c>
      <c r="G98" t="str">
        <f>HYPERLINK("https://www.ncbi.nlm.nih.gov/nucleotide/XM_024813321.1?report=genbank&amp;log$=nucltop&amp;blast_rank=95&amp;RID=0FYPDR5X016","XM_024813321.1")</f>
        <v>XM_024813321.1</v>
      </c>
    </row>
    <row r="99" spans="1:7" x14ac:dyDescent="0.35">
      <c r="A99" t="s">
        <v>281</v>
      </c>
      <c r="B99">
        <v>121</v>
      </c>
      <c r="C99">
        <v>121</v>
      </c>
      <c r="D99" s="2">
        <v>0.72</v>
      </c>
      <c r="E99" s="3">
        <v>9.9999999999999997E-29</v>
      </c>
      <c r="F99">
        <v>35.78</v>
      </c>
      <c r="G99" t="str">
        <f>HYPERLINK("https://www.ncbi.nlm.nih.gov/nucleotide/XM_007704195.1?report=genbank&amp;log$=nucltop&amp;blast_rank=96&amp;RID=0FYPDR5X016","XM_007704195.1")</f>
        <v>XM_007704195.1</v>
      </c>
    </row>
    <row r="100" spans="1:7" x14ac:dyDescent="0.35">
      <c r="A100" t="s">
        <v>276</v>
      </c>
      <c r="B100">
        <v>119</v>
      </c>
      <c r="C100">
        <v>119</v>
      </c>
      <c r="D100" s="2">
        <v>0.79</v>
      </c>
      <c r="E100" s="3">
        <v>1.9999999999999999E-28</v>
      </c>
      <c r="F100">
        <v>35.75</v>
      </c>
      <c r="G100" t="str">
        <f>HYPERLINK("https://www.ncbi.nlm.nih.gov/nucleotide/XM_024466619.1?report=genbank&amp;log$=nucltop&amp;blast_rank=97&amp;RID=0FYPDR5X016","XM_024466619.1")</f>
        <v>XM_024466619.1</v>
      </c>
    </row>
    <row r="101" spans="1:7" x14ac:dyDescent="0.35">
      <c r="A101" t="s">
        <v>740</v>
      </c>
      <c r="B101">
        <v>119</v>
      </c>
      <c r="C101">
        <v>119</v>
      </c>
      <c r="D101" s="2">
        <v>0.88</v>
      </c>
      <c r="E101" s="3">
        <v>5.0000000000000002E-27</v>
      </c>
      <c r="F101">
        <v>35.74</v>
      </c>
      <c r="G101" t="str">
        <f>HYPERLINK("https://www.ncbi.nlm.nih.gov/nucleotide/XM_024835101.1?report=genbank&amp;log$=nucltop&amp;blast_rank=98&amp;RID=0FYPDR5X016","XM_024835101.1")</f>
        <v>XM_024835101.1</v>
      </c>
    </row>
    <row r="102" spans="1:7" x14ac:dyDescent="0.35">
      <c r="A102" t="s">
        <v>741</v>
      </c>
      <c r="B102">
        <v>117</v>
      </c>
      <c r="C102">
        <v>117</v>
      </c>
      <c r="D102" s="2">
        <v>0.89</v>
      </c>
      <c r="E102" s="3">
        <v>6.0000000000000001E-28</v>
      </c>
      <c r="F102">
        <v>34.549999999999997</v>
      </c>
      <c r="G102" t="str">
        <f>HYPERLINK("https://www.ncbi.nlm.nih.gov/nucleotide/XM_016739551.1?report=genbank&amp;log$=nucltop&amp;blast_rank=99&amp;RID=0FYPDR5X016","XM_016739551.1")</f>
        <v>XM_016739551.1</v>
      </c>
    </row>
    <row r="103" spans="1:7" x14ac:dyDescent="0.35">
      <c r="A103" t="s">
        <v>275</v>
      </c>
      <c r="B103">
        <v>120</v>
      </c>
      <c r="C103">
        <v>120</v>
      </c>
      <c r="D103" s="2">
        <v>0.88</v>
      </c>
      <c r="E103" s="3">
        <v>1.9999999999999999E-28</v>
      </c>
      <c r="F103">
        <v>33.200000000000003</v>
      </c>
      <c r="G103" t="str">
        <f>HYPERLINK("https://www.ncbi.nlm.nih.gov/nucleotide/XM_002560097.1?report=genbank&amp;log$=nucltop&amp;blast_rank=100&amp;RID=0FYPDR5X016","XM_002560097.1")</f>
        <v>XM_002560097.1</v>
      </c>
    </row>
    <row r="104" spans="1:7" x14ac:dyDescent="0.35">
      <c r="A104" s="1" t="s">
        <v>765</v>
      </c>
    </row>
    <row r="105" spans="1:7" x14ac:dyDescent="0.35">
      <c r="A105" s="1" t="s">
        <v>2</v>
      </c>
      <c r="B105" s="1" t="s">
        <v>3</v>
      </c>
      <c r="C105" s="1" t="s">
        <v>4</v>
      </c>
      <c r="D105" s="1" t="s">
        <v>5</v>
      </c>
      <c r="E105" s="1" t="s">
        <v>6</v>
      </c>
      <c r="F105" s="1" t="s">
        <v>7</v>
      </c>
      <c r="G105" s="1" t="s">
        <v>8</v>
      </c>
    </row>
    <row r="106" spans="1:7" x14ac:dyDescent="0.35">
      <c r="A106" t="s">
        <v>10</v>
      </c>
      <c r="B106">
        <v>181</v>
      </c>
      <c r="C106">
        <v>181</v>
      </c>
      <c r="D106" s="2">
        <v>0.09</v>
      </c>
      <c r="E106" s="3">
        <v>6E-49</v>
      </c>
      <c r="F106">
        <v>73.39</v>
      </c>
      <c r="G106" t="str">
        <f>HYPERLINK("https://www.ncbi.nlm.nih.gov/nucleotide/AB551954.1?report=genbank&amp;log$=nucltop&amp;blast_rank=1&amp;RID=0FYS3CMB016","AB551954.1")</f>
        <v>AB551954.1</v>
      </c>
    </row>
    <row r="107" spans="1:7" x14ac:dyDescent="0.35">
      <c r="A107" t="s">
        <v>107</v>
      </c>
      <c r="B107">
        <v>169</v>
      </c>
      <c r="C107">
        <v>216</v>
      </c>
      <c r="D107" s="2">
        <v>0.17</v>
      </c>
      <c r="E107" s="3">
        <v>3.9999999999999999E-45</v>
      </c>
      <c r="F107">
        <v>66.98</v>
      </c>
      <c r="G107" t="str">
        <f>HYPERLINK("https://www.ncbi.nlm.nih.gov/nucleotide/CP019380.1?report=genbank&amp;log$=nucltop&amp;blast_rank=2&amp;RID=0FYS3CMB016","CP019380.1")</f>
        <v>CP019380.1</v>
      </c>
    </row>
    <row r="108" spans="1:7" x14ac:dyDescent="0.35">
      <c r="A108" t="s">
        <v>9</v>
      </c>
      <c r="B108">
        <v>660</v>
      </c>
      <c r="C108">
        <v>2033</v>
      </c>
      <c r="D108" s="2">
        <v>1</v>
      </c>
      <c r="E108">
        <v>0</v>
      </c>
      <c r="F108">
        <v>66.14</v>
      </c>
      <c r="G108" t="str">
        <f>HYPERLINK("https://www.ncbi.nlm.nih.gov/nucleotide/LR732079.1?report=genbank&amp;log$=nucltop&amp;blast_rank=3&amp;RID=0FYS3CMB016","LR732079.1")</f>
        <v>LR732079.1</v>
      </c>
    </row>
    <row r="109" spans="1:7" x14ac:dyDescent="0.35">
      <c r="A109" t="s">
        <v>108</v>
      </c>
      <c r="B109">
        <v>196</v>
      </c>
      <c r="C109">
        <v>196</v>
      </c>
      <c r="D109" s="2">
        <v>0.11</v>
      </c>
      <c r="E109" s="3">
        <v>5.0000000000000002E-54</v>
      </c>
      <c r="F109">
        <v>62.31</v>
      </c>
      <c r="G109" t="str">
        <f>HYPERLINK("https://www.ncbi.nlm.nih.gov/nucleotide/XM_024486644.1?report=genbank&amp;log$=nucltop&amp;blast_rank=4&amp;RID=0FYS3CMB016","XM_024486644.1")</f>
        <v>XM_024486644.1</v>
      </c>
    </row>
    <row r="110" spans="1:7" x14ac:dyDescent="0.35">
      <c r="A110" s="4" t="s">
        <v>11</v>
      </c>
      <c r="B110" s="4">
        <v>738</v>
      </c>
      <c r="C110" s="4">
        <v>738</v>
      </c>
      <c r="D110" s="5">
        <v>0.52</v>
      </c>
      <c r="E110" s="4">
        <v>0</v>
      </c>
      <c r="F110" s="4">
        <v>60.77</v>
      </c>
      <c r="G110" s="4" t="str">
        <f>HYPERLINK("https://www.ncbi.nlm.nih.gov/nucleotide/AB551982.1?report=genbank&amp;log$=nucltop&amp;blast_rank=5&amp;RID=0FYS3CMB016","AB551982.1")</f>
        <v>AB551982.1</v>
      </c>
    </row>
    <row r="111" spans="1:7" x14ac:dyDescent="0.35">
      <c r="A111" t="s">
        <v>16</v>
      </c>
      <c r="B111">
        <v>388</v>
      </c>
      <c r="C111">
        <v>1348</v>
      </c>
      <c r="D111" s="2">
        <v>0.74</v>
      </c>
      <c r="E111" s="3">
        <v>2E-174</v>
      </c>
      <c r="F111">
        <v>60.65</v>
      </c>
      <c r="G111" t="str">
        <f>HYPERLINK("https://www.ncbi.nlm.nih.gov/nucleotide/CP039877.1?report=genbank&amp;log$=nucltop&amp;blast_rank=6&amp;RID=0FYS3CMB016","CP039877.1")</f>
        <v>CP039877.1</v>
      </c>
    </row>
    <row r="112" spans="1:7" x14ac:dyDescent="0.35">
      <c r="A112" t="s">
        <v>17</v>
      </c>
      <c r="B112">
        <v>388</v>
      </c>
      <c r="C112">
        <v>1348</v>
      </c>
      <c r="D112" s="2">
        <v>0.74</v>
      </c>
      <c r="E112" s="3">
        <v>2E-174</v>
      </c>
      <c r="F112">
        <v>60.65</v>
      </c>
      <c r="G112" t="str">
        <f>HYPERLINK("https://www.ncbi.nlm.nih.gov/nucleotide/CP015461.1?report=genbank&amp;log$=nucltop&amp;blast_rank=7&amp;RID=0FYS3CMB016","CP015461.1")</f>
        <v>CP015461.1</v>
      </c>
    </row>
    <row r="113" spans="1:7" x14ac:dyDescent="0.35">
      <c r="A113" t="s">
        <v>18</v>
      </c>
      <c r="B113">
        <v>388</v>
      </c>
      <c r="C113">
        <v>1348</v>
      </c>
      <c r="D113" s="2">
        <v>0.74</v>
      </c>
      <c r="E113" s="3">
        <v>2E-174</v>
      </c>
      <c r="F113">
        <v>60.65</v>
      </c>
      <c r="G113" t="str">
        <f>HYPERLINK("https://www.ncbi.nlm.nih.gov/nucleotide/CP015474.1?report=genbank&amp;log$=nucltop&amp;blast_rank=8&amp;RID=0FYS3CMB016","CP015474.1")</f>
        <v>CP015474.1</v>
      </c>
    </row>
    <row r="114" spans="1:7" x14ac:dyDescent="0.35">
      <c r="A114" t="s">
        <v>19</v>
      </c>
      <c r="B114">
        <v>211</v>
      </c>
      <c r="C114">
        <v>211</v>
      </c>
      <c r="D114" s="2">
        <v>0.15</v>
      </c>
      <c r="E114" s="3">
        <v>2E-55</v>
      </c>
      <c r="F114">
        <v>60.47</v>
      </c>
      <c r="G114" t="str">
        <f>HYPERLINK("https://www.ncbi.nlm.nih.gov/nucleotide/XM_001880888.1?report=genbank&amp;log$=nucltop&amp;blast_rank=9&amp;RID=0FYS3CMB016","XM_001880888.1")</f>
        <v>XM_001880888.1</v>
      </c>
    </row>
    <row r="115" spans="1:7" x14ac:dyDescent="0.35">
      <c r="A115" t="s">
        <v>12</v>
      </c>
      <c r="B115">
        <v>687</v>
      </c>
      <c r="C115">
        <v>687</v>
      </c>
      <c r="D115" s="2">
        <v>0.49</v>
      </c>
      <c r="E115">
        <v>0</v>
      </c>
      <c r="F115">
        <v>59.86</v>
      </c>
      <c r="G115" t="str">
        <f>HYPERLINK("https://www.ncbi.nlm.nih.gov/nucleotide/XM_036779060.1?report=genbank&amp;log$=nucltop&amp;blast_rank=10&amp;RID=0FYS3CMB016","XM_036779060.1")</f>
        <v>XM_036779060.1</v>
      </c>
    </row>
    <row r="116" spans="1:7" x14ac:dyDescent="0.35">
      <c r="A116" t="s">
        <v>109</v>
      </c>
      <c r="B116">
        <v>185</v>
      </c>
      <c r="C116">
        <v>185</v>
      </c>
      <c r="D116" s="2">
        <v>0.12</v>
      </c>
      <c r="E116" s="3">
        <v>4E-50</v>
      </c>
      <c r="F116">
        <v>58.27</v>
      </c>
      <c r="G116" t="str">
        <f>HYPERLINK("https://www.ncbi.nlm.nih.gov/nucleotide/XM_007870492.1?report=genbank&amp;log$=nucltop&amp;blast_rank=11&amp;RID=0FYS3CMB016","XM_007870492.1")</f>
        <v>XM_007870492.1</v>
      </c>
    </row>
    <row r="117" spans="1:7" x14ac:dyDescent="0.35">
      <c r="A117" t="s">
        <v>21</v>
      </c>
      <c r="B117">
        <v>178</v>
      </c>
      <c r="C117">
        <v>178</v>
      </c>
      <c r="D117" s="2">
        <v>0.11</v>
      </c>
      <c r="E117" s="3">
        <v>4.9999999999999999E-48</v>
      </c>
      <c r="F117">
        <v>58.14</v>
      </c>
      <c r="G117" t="str">
        <f>HYPERLINK("https://www.ncbi.nlm.nih.gov/nucleotide/XM_009546988.1?report=genbank&amp;log$=nucltop&amp;blast_rank=12&amp;RID=0FYS3CMB016","XM_009546988.1")</f>
        <v>XM_009546988.1</v>
      </c>
    </row>
    <row r="118" spans="1:7" x14ac:dyDescent="0.35">
      <c r="A118" s="4" t="s">
        <v>13</v>
      </c>
      <c r="B118" s="4">
        <v>687</v>
      </c>
      <c r="C118" s="4">
        <v>687</v>
      </c>
      <c r="D118" s="5">
        <v>0.53</v>
      </c>
      <c r="E118" s="4">
        <v>0</v>
      </c>
      <c r="F118" s="4">
        <v>58.08</v>
      </c>
      <c r="G118" s="4" t="str">
        <f>HYPERLINK("https://www.ncbi.nlm.nih.gov/nucleotide/XM_037359092.1?report=genbank&amp;log$=nucltop&amp;blast_rank=13&amp;RID=0FYS3CMB016","XM_037359092.1")</f>
        <v>XM_037359092.1</v>
      </c>
    </row>
    <row r="119" spans="1:7" x14ac:dyDescent="0.35">
      <c r="A119" t="s">
        <v>14</v>
      </c>
      <c r="B119">
        <v>691</v>
      </c>
      <c r="C119">
        <v>691</v>
      </c>
      <c r="D119" s="2">
        <v>0.52</v>
      </c>
      <c r="E119">
        <v>0</v>
      </c>
      <c r="F119">
        <v>57.33</v>
      </c>
      <c r="G119" t="str">
        <f>HYPERLINK("https://www.ncbi.nlm.nih.gov/nucleotide/XM_007330301.1?report=genbank&amp;log$=nucltop&amp;blast_rank=14&amp;RID=0FYS3CMB016","XM_007330301.1")</f>
        <v>XM_007330301.1</v>
      </c>
    </row>
    <row r="120" spans="1:7" x14ac:dyDescent="0.35">
      <c r="A120" t="s">
        <v>15</v>
      </c>
      <c r="B120">
        <v>688</v>
      </c>
      <c r="C120">
        <v>688</v>
      </c>
      <c r="D120" s="2">
        <v>0.52</v>
      </c>
      <c r="E120">
        <v>0</v>
      </c>
      <c r="F120">
        <v>57.33</v>
      </c>
      <c r="G120" t="str">
        <f>HYPERLINK("https://www.ncbi.nlm.nih.gov/nucleotide/XM_006459161.1?report=genbank&amp;log$=nucltop&amp;blast_rank=15&amp;RID=0FYS3CMB016","XM_006459161.1")</f>
        <v>XM_006459161.1</v>
      </c>
    </row>
    <row r="121" spans="1:7" x14ac:dyDescent="0.35">
      <c r="A121" t="s">
        <v>111</v>
      </c>
      <c r="B121">
        <v>219</v>
      </c>
      <c r="C121">
        <v>219</v>
      </c>
      <c r="D121" s="2">
        <v>0.16</v>
      </c>
      <c r="E121" s="3">
        <v>6.0000000000000002E-61</v>
      </c>
      <c r="F121">
        <v>56.38</v>
      </c>
      <c r="G121" t="str">
        <f>HYPERLINK("https://www.ncbi.nlm.nih.gov/nucleotide/XM_007330300.1?report=genbank&amp;log$=nucltop&amp;blast_rank=16&amp;RID=0FYS3CMB016","XM_007330300.1")</f>
        <v>XM_007330300.1</v>
      </c>
    </row>
    <row r="122" spans="1:7" x14ac:dyDescent="0.35">
      <c r="A122" t="s">
        <v>112</v>
      </c>
      <c r="B122">
        <v>172</v>
      </c>
      <c r="C122">
        <v>172</v>
      </c>
      <c r="D122" s="2">
        <v>0.11</v>
      </c>
      <c r="E122" s="3">
        <v>2E-45</v>
      </c>
      <c r="F122">
        <v>55.7</v>
      </c>
      <c r="G122" t="str">
        <f>HYPERLINK("https://www.ncbi.nlm.nih.gov/nucleotide/XM_007393520.1?report=genbank&amp;log$=nucltop&amp;blast_rank=17&amp;RID=0FYS3CMB016","XM_007393520.1")</f>
        <v>XM_007393520.1</v>
      </c>
    </row>
    <row r="123" spans="1:7" x14ac:dyDescent="0.35">
      <c r="A123" t="s">
        <v>113</v>
      </c>
      <c r="B123">
        <v>199</v>
      </c>
      <c r="C123">
        <v>199</v>
      </c>
      <c r="D123" s="2">
        <v>0.15</v>
      </c>
      <c r="E123" s="3">
        <v>5.0000000000000002E-55</v>
      </c>
      <c r="F123">
        <v>55.11</v>
      </c>
      <c r="G123" t="str">
        <f>HYPERLINK("https://www.ncbi.nlm.nih.gov/nucleotide/XM_008041408.1?report=genbank&amp;log$=nucltop&amp;blast_rank=18&amp;RID=0FYS3CMB016","XM_008041408.1")</f>
        <v>XM_008041408.1</v>
      </c>
    </row>
    <row r="124" spans="1:7" x14ac:dyDescent="0.35">
      <c r="A124" s="4" t="s">
        <v>114</v>
      </c>
      <c r="B124" s="4">
        <v>194</v>
      </c>
      <c r="C124" s="4">
        <v>194</v>
      </c>
      <c r="D124" s="5">
        <v>0.15</v>
      </c>
      <c r="E124" s="6">
        <v>1.9999999999999999E-48</v>
      </c>
      <c r="F124" s="4">
        <v>54.39</v>
      </c>
      <c r="G124" s="4" t="str">
        <f>HYPERLINK("https://www.ncbi.nlm.nih.gov/nucleotide/LR724670.1?report=genbank&amp;log$=nucltop&amp;blast_rank=19&amp;RID=0FYS3CMB016","LR724670.1")</f>
        <v>LR724670.1</v>
      </c>
    </row>
    <row r="125" spans="1:7" x14ac:dyDescent="0.35">
      <c r="A125" t="s">
        <v>19</v>
      </c>
      <c r="B125">
        <v>642</v>
      </c>
      <c r="C125">
        <v>642</v>
      </c>
      <c r="D125" s="2">
        <v>0.52</v>
      </c>
      <c r="E125">
        <v>0</v>
      </c>
      <c r="F125">
        <v>53.55</v>
      </c>
      <c r="G125" t="str">
        <f>HYPERLINK("https://www.ncbi.nlm.nih.gov/nucleotide/XM_001880889.1?report=genbank&amp;log$=nucltop&amp;blast_rank=20&amp;RID=0FYS3CMB016","XM_001880889.1")</f>
        <v>XM_001880889.1</v>
      </c>
    </row>
    <row r="126" spans="1:7" x14ac:dyDescent="0.35">
      <c r="A126" s="4" t="s">
        <v>117</v>
      </c>
      <c r="B126" s="4">
        <v>189</v>
      </c>
      <c r="C126" s="4">
        <v>189</v>
      </c>
      <c r="D126" s="5">
        <v>0.15</v>
      </c>
      <c r="E126" s="6">
        <v>6.0000000000000003E-47</v>
      </c>
      <c r="F126" s="4">
        <v>52.81</v>
      </c>
      <c r="G126" s="4" t="str">
        <f>HYPERLINK("https://www.ncbi.nlm.nih.gov/nucleotide/XM_037359091.1?report=genbank&amp;log$=nucltop&amp;blast_rank=21&amp;RID=0FYS3CMB016","XM_037359091.1")</f>
        <v>XM_037359091.1</v>
      </c>
    </row>
    <row r="127" spans="1:7" x14ac:dyDescent="0.35">
      <c r="A127" t="s">
        <v>115</v>
      </c>
      <c r="B127">
        <v>190</v>
      </c>
      <c r="C127">
        <v>190</v>
      </c>
      <c r="D127" s="2">
        <v>0.15</v>
      </c>
      <c r="E127" s="3">
        <v>1E-51</v>
      </c>
      <c r="F127">
        <v>52.63</v>
      </c>
      <c r="G127" t="str">
        <f>HYPERLINK("https://www.ncbi.nlm.nih.gov/nucleotide/XM_007388990.1?report=genbank&amp;log$=nucltop&amp;blast_rank=22&amp;RID=0FYS3CMB016","XM_007388990.1")</f>
        <v>XM_007388990.1</v>
      </c>
    </row>
    <row r="128" spans="1:7" x14ac:dyDescent="0.35">
      <c r="A128" t="s">
        <v>116</v>
      </c>
      <c r="B128">
        <v>196</v>
      </c>
      <c r="C128">
        <v>196</v>
      </c>
      <c r="D128" s="2">
        <v>0.15</v>
      </c>
      <c r="E128" s="3">
        <v>1.9999999999999999E-48</v>
      </c>
      <c r="F128">
        <v>52.22</v>
      </c>
      <c r="G128" t="str">
        <f>HYPERLINK("https://www.ncbi.nlm.nih.gov/nucleotide/XM_007299403.1?report=genbank&amp;log$=nucltop&amp;blast_rank=23&amp;RID=0FYS3CMB016","XM_007299403.1")</f>
        <v>XM_007299403.1</v>
      </c>
    </row>
    <row r="129" spans="1:7" x14ac:dyDescent="0.35">
      <c r="A129" t="s">
        <v>21</v>
      </c>
      <c r="B129">
        <v>624</v>
      </c>
      <c r="C129">
        <v>624</v>
      </c>
      <c r="D129" s="2">
        <v>0.52</v>
      </c>
      <c r="E129">
        <v>0</v>
      </c>
      <c r="F129">
        <v>51.31</v>
      </c>
      <c r="G129" t="str">
        <f>HYPERLINK("https://www.ncbi.nlm.nih.gov/nucleotide/XM_009546986.1?report=genbank&amp;log$=nucltop&amp;blast_rank=24&amp;RID=0FYS3CMB016","XM_009546986.1")</f>
        <v>XM_009546986.1</v>
      </c>
    </row>
    <row r="130" spans="1:7" x14ac:dyDescent="0.35">
      <c r="A130" t="s">
        <v>118</v>
      </c>
      <c r="B130">
        <v>223</v>
      </c>
      <c r="C130">
        <v>223</v>
      </c>
      <c r="D130" s="2">
        <v>0.2</v>
      </c>
      <c r="E130" s="3">
        <v>7.0000000000000002E-59</v>
      </c>
      <c r="F130">
        <v>50</v>
      </c>
      <c r="G130" t="str">
        <f>HYPERLINK("https://www.ncbi.nlm.nih.gov/nucleotide/XM_006459160.1?report=genbank&amp;log$=nucltop&amp;blast_rank=25&amp;RID=0FYS3CMB016","XM_006459160.1")</f>
        <v>XM_006459160.1</v>
      </c>
    </row>
    <row r="131" spans="1:7" x14ac:dyDescent="0.35">
      <c r="A131" t="s">
        <v>119</v>
      </c>
      <c r="B131">
        <v>191</v>
      </c>
      <c r="C131">
        <v>191</v>
      </c>
      <c r="D131" s="2">
        <v>0.17</v>
      </c>
      <c r="E131" s="3">
        <v>3.0000000000000001E-45</v>
      </c>
      <c r="F131">
        <v>49.02</v>
      </c>
      <c r="G131" t="str">
        <f>HYPERLINK("https://www.ncbi.nlm.nih.gov/nucleotide/XM_027763465.1?report=genbank&amp;log$=nucltop&amp;blast_rank=26&amp;RID=0FYS3CMB016","XM_027763465.1")</f>
        <v>XM_027763465.1</v>
      </c>
    </row>
    <row r="132" spans="1:7" x14ac:dyDescent="0.35">
      <c r="A132" s="4" t="s">
        <v>20</v>
      </c>
      <c r="B132" s="4">
        <v>176</v>
      </c>
      <c r="C132" s="4">
        <v>405</v>
      </c>
      <c r="D132" s="5">
        <v>0.53</v>
      </c>
      <c r="E132" s="6">
        <v>2E-95</v>
      </c>
      <c r="F132" s="4">
        <v>48.92</v>
      </c>
      <c r="G132" s="4" t="str">
        <f>HYPERLINK("https://www.ncbi.nlm.nih.gov/nucleotide/KJ999702.1?report=genbank&amp;log$=nucltop&amp;blast_rank=27&amp;RID=0FYS3CMB016","KJ999702.1")</f>
        <v>KJ999702.1</v>
      </c>
    </row>
    <row r="133" spans="1:7" x14ac:dyDescent="0.35">
      <c r="A133" t="s">
        <v>22</v>
      </c>
      <c r="B133">
        <v>481</v>
      </c>
      <c r="C133">
        <v>481</v>
      </c>
      <c r="D133" s="2">
        <v>0.48</v>
      </c>
      <c r="E133" s="3">
        <v>9.9999999999999997E-155</v>
      </c>
      <c r="F133">
        <v>48.48</v>
      </c>
      <c r="G133" t="str">
        <f>HYPERLINK("https://www.ncbi.nlm.nih.gov/nucleotide/XM_001836369.2?report=genbank&amp;log$=nucltop&amp;blast_rank=28&amp;RID=0FYS3CMB016","XM_001836369.2")</f>
        <v>XM_001836369.2</v>
      </c>
    </row>
    <row r="134" spans="1:7" x14ac:dyDescent="0.35">
      <c r="A134" t="s">
        <v>30</v>
      </c>
      <c r="B134">
        <v>179</v>
      </c>
      <c r="C134">
        <v>415</v>
      </c>
      <c r="D134" s="2">
        <v>0.51</v>
      </c>
      <c r="E134" s="3">
        <v>4E-92</v>
      </c>
      <c r="F134">
        <v>48.45</v>
      </c>
      <c r="G134" t="str">
        <f>HYPERLINK("https://www.ncbi.nlm.nih.gov/nucleotide/CP031825.1?report=genbank&amp;log$=nucltop&amp;blast_rank=29&amp;RID=0FYS3CMB016","CP031825.1")</f>
        <v>CP031825.1</v>
      </c>
    </row>
    <row r="135" spans="1:7" x14ac:dyDescent="0.35">
      <c r="A135" t="s">
        <v>31</v>
      </c>
      <c r="B135">
        <v>179</v>
      </c>
      <c r="C135">
        <v>415</v>
      </c>
      <c r="D135" s="2">
        <v>0.51</v>
      </c>
      <c r="E135" s="3">
        <v>4E-92</v>
      </c>
      <c r="F135">
        <v>48.45</v>
      </c>
      <c r="G135" t="str">
        <f>HYPERLINK("https://www.ncbi.nlm.nih.gov/nucleotide/LK023313.1?report=genbank&amp;log$=nucltop&amp;blast_rank=30&amp;RID=0FYS3CMB016","LK023313.1")</f>
        <v>LK023313.1</v>
      </c>
    </row>
    <row r="136" spans="1:7" x14ac:dyDescent="0.35">
      <c r="A136" t="s">
        <v>121</v>
      </c>
      <c r="B136">
        <v>167</v>
      </c>
      <c r="C136">
        <v>167</v>
      </c>
      <c r="D136" s="2">
        <v>0.15</v>
      </c>
      <c r="E136" s="3">
        <v>2.0000000000000002E-43</v>
      </c>
      <c r="F136">
        <v>45.35</v>
      </c>
      <c r="G136" t="str">
        <f>HYPERLINK("https://www.ncbi.nlm.nih.gov/nucleotide/XM_007263292.1?report=genbank&amp;log$=nucltop&amp;blast_rank=31&amp;RID=0FYS3CMB016","XM_007263292.1")</f>
        <v>XM_007263292.1</v>
      </c>
    </row>
    <row r="137" spans="1:7" x14ac:dyDescent="0.35">
      <c r="A137" t="s">
        <v>23</v>
      </c>
      <c r="B137">
        <v>494</v>
      </c>
      <c r="C137">
        <v>494</v>
      </c>
      <c r="D137" s="2">
        <v>0.52</v>
      </c>
      <c r="E137" s="3">
        <v>1E-155</v>
      </c>
      <c r="F137">
        <v>44.9</v>
      </c>
      <c r="G137" t="str">
        <f>HYPERLINK("https://www.ncbi.nlm.nih.gov/nucleotide/XM_007300021.1?report=genbank&amp;log$=nucltop&amp;blast_rank=32&amp;RID=0FYS3CMB016","XM_007300021.1")</f>
        <v>XM_007300021.1</v>
      </c>
    </row>
    <row r="138" spans="1:7" x14ac:dyDescent="0.35">
      <c r="A138" t="s">
        <v>24</v>
      </c>
      <c r="B138">
        <v>518</v>
      </c>
      <c r="C138">
        <v>518</v>
      </c>
      <c r="D138" s="2">
        <v>0.52</v>
      </c>
      <c r="E138" s="3">
        <v>4E-167</v>
      </c>
      <c r="F138">
        <v>44.83</v>
      </c>
      <c r="G138" t="str">
        <f>HYPERLINK("https://www.ncbi.nlm.nih.gov/nucleotide/XM_037359093.1?report=genbank&amp;log$=nucltop&amp;blast_rank=33&amp;RID=0FYS3CMB016","XM_037359093.1")</f>
        <v>XM_037359093.1</v>
      </c>
    </row>
    <row r="139" spans="1:7" x14ac:dyDescent="0.35">
      <c r="A139" t="s">
        <v>110</v>
      </c>
      <c r="B139">
        <v>214</v>
      </c>
      <c r="C139">
        <v>214</v>
      </c>
      <c r="D139" s="2">
        <v>0.22</v>
      </c>
      <c r="E139" s="3">
        <v>1E-58</v>
      </c>
      <c r="F139">
        <v>44.78</v>
      </c>
      <c r="G139" t="str">
        <f>HYPERLINK("https://www.ncbi.nlm.nih.gov/nucleotide/XM_003033916.1?report=genbank&amp;log$=nucltop&amp;blast_rank=34&amp;RID=0FYS3CMB016","XM_003033916.1")</f>
        <v>XM_003033916.1</v>
      </c>
    </row>
    <row r="140" spans="1:7" x14ac:dyDescent="0.35">
      <c r="A140" t="s">
        <v>120</v>
      </c>
      <c r="B140">
        <v>210</v>
      </c>
      <c r="C140">
        <v>210</v>
      </c>
      <c r="D140" s="2">
        <v>0.21</v>
      </c>
      <c r="E140" s="3">
        <v>2.0000000000000001E-54</v>
      </c>
      <c r="F140">
        <v>44.2</v>
      </c>
      <c r="G140" t="str">
        <f>HYPERLINK("https://www.ncbi.nlm.nih.gov/nucleotide/XM_012325304.1?report=genbank&amp;log$=nucltop&amp;blast_rank=35&amp;RID=0FYS3CMB016","XM_012325304.1")</f>
        <v>XM_012325304.1</v>
      </c>
    </row>
    <row r="141" spans="1:7" x14ac:dyDescent="0.35">
      <c r="A141" t="s">
        <v>27</v>
      </c>
      <c r="B141">
        <v>168</v>
      </c>
      <c r="C141">
        <v>445</v>
      </c>
      <c r="D141" s="2">
        <v>0.61</v>
      </c>
      <c r="E141" s="3">
        <v>6.0000000000000004E-91</v>
      </c>
      <c r="F141">
        <v>43.78</v>
      </c>
      <c r="G141" t="str">
        <f>HYPERLINK("https://www.ncbi.nlm.nih.gov/nucleotide/CP031830.1?report=genbank&amp;log$=nucltop&amp;blast_rank=36&amp;RID=0FYS3CMB016","CP031830.1")</f>
        <v>CP031830.1</v>
      </c>
    </row>
    <row r="142" spans="1:7" x14ac:dyDescent="0.35">
      <c r="A142" t="s">
        <v>28</v>
      </c>
      <c r="B142">
        <v>168</v>
      </c>
      <c r="C142">
        <v>445</v>
      </c>
      <c r="D142" s="2">
        <v>0.61</v>
      </c>
      <c r="E142" s="3">
        <v>6.0000000000000004E-91</v>
      </c>
      <c r="F142">
        <v>43.78</v>
      </c>
      <c r="G142" t="str">
        <f>HYPERLINK("https://www.ncbi.nlm.nih.gov/nucleotide/LK023335.1?report=genbank&amp;log$=nucltop&amp;blast_rank=37&amp;RID=0FYS3CMB016","LK023335.1")</f>
        <v>LK023335.1</v>
      </c>
    </row>
    <row r="143" spans="1:7" x14ac:dyDescent="0.35">
      <c r="A143" t="s">
        <v>25</v>
      </c>
      <c r="B143">
        <v>508</v>
      </c>
      <c r="C143">
        <v>508</v>
      </c>
      <c r="D143" s="2">
        <v>0.52</v>
      </c>
      <c r="E143" s="3">
        <v>6.0000000000000005E-163</v>
      </c>
      <c r="F143">
        <v>43.51</v>
      </c>
      <c r="G143" t="str">
        <f>HYPERLINK("https://www.ncbi.nlm.nih.gov/nucleotide/XM_007330400.1?report=genbank&amp;log$=nucltop&amp;blast_rank=38&amp;RID=0FYS3CMB016","XM_007330400.1")</f>
        <v>XM_007330400.1</v>
      </c>
    </row>
    <row r="144" spans="1:7" x14ac:dyDescent="0.35">
      <c r="A144" t="s">
        <v>29</v>
      </c>
      <c r="B144">
        <v>504</v>
      </c>
      <c r="C144">
        <v>504</v>
      </c>
      <c r="D144" s="2">
        <v>0.52</v>
      </c>
      <c r="E144" s="3">
        <v>6E-162</v>
      </c>
      <c r="F144">
        <v>43.44</v>
      </c>
      <c r="G144" t="str">
        <f>HYPERLINK("https://www.ncbi.nlm.nih.gov/nucleotide/XM_036779059.1?report=genbank&amp;log$=nucltop&amp;blast_rank=39&amp;RID=0FYS3CMB016","XM_036779059.1")</f>
        <v>XM_036779059.1</v>
      </c>
    </row>
    <row r="145" spans="1:7" x14ac:dyDescent="0.35">
      <c r="A145" t="s">
        <v>26</v>
      </c>
      <c r="B145">
        <v>506</v>
      </c>
      <c r="C145">
        <v>506</v>
      </c>
      <c r="D145" s="2">
        <v>0.52</v>
      </c>
      <c r="E145" s="3">
        <v>3E-162</v>
      </c>
      <c r="F145">
        <v>43.35</v>
      </c>
      <c r="G145" t="str">
        <f>HYPERLINK("https://www.ncbi.nlm.nih.gov/nucleotide/XM_006459162.1?report=genbank&amp;log$=nucltop&amp;blast_rank=40&amp;RID=0FYS3CMB016","XM_006459162.1")</f>
        <v>XM_006459162.1</v>
      </c>
    </row>
    <row r="146" spans="1:7" x14ac:dyDescent="0.35">
      <c r="A146" t="s">
        <v>122</v>
      </c>
      <c r="B146">
        <v>197</v>
      </c>
      <c r="C146">
        <v>197</v>
      </c>
      <c r="D146" s="2">
        <v>0.22</v>
      </c>
      <c r="E146" s="3">
        <v>6E-49</v>
      </c>
      <c r="F146">
        <v>41.99</v>
      </c>
      <c r="G146" t="str">
        <f>HYPERLINK("https://www.ncbi.nlm.nih.gov/nucleotide/XM_007362291.1?report=genbank&amp;log$=nucltop&amp;blast_rank=41&amp;RID=0FYS3CMB016","XM_007362291.1")</f>
        <v>XM_007362291.1</v>
      </c>
    </row>
    <row r="147" spans="1:7" x14ac:dyDescent="0.35">
      <c r="A147" t="s">
        <v>21</v>
      </c>
      <c r="B147">
        <v>486</v>
      </c>
      <c r="C147">
        <v>486</v>
      </c>
      <c r="D147" s="2">
        <v>0.52</v>
      </c>
      <c r="E147" s="3">
        <v>7.9999999999999998E-154</v>
      </c>
      <c r="F147">
        <v>41.64</v>
      </c>
      <c r="G147" t="str">
        <f>HYPERLINK("https://www.ncbi.nlm.nih.gov/nucleotide/XM_009546985.1?report=genbank&amp;log$=nucltop&amp;blast_rank=42&amp;RID=0FYS3CMB016","XM_009546985.1")</f>
        <v>XM_009546985.1</v>
      </c>
    </row>
    <row r="148" spans="1:7" x14ac:dyDescent="0.35">
      <c r="A148" t="s">
        <v>32</v>
      </c>
      <c r="B148">
        <v>457</v>
      </c>
      <c r="C148">
        <v>457</v>
      </c>
      <c r="D148" s="2">
        <v>0.52</v>
      </c>
      <c r="E148" s="3">
        <v>4.0000000000000002E-141</v>
      </c>
      <c r="F148">
        <v>41.41</v>
      </c>
      <c r="G148" t="str">
        <f>HYPERLINK("https://www.ncbi.nlm.nih.gov/nucleotide/XM_018429091.1?report=genbank&amp;log$=nucltop&amp;blast_rank=43&amp;RID=0FYS3CMB016","XM_018429091.1")</f>
        <v>XM_018429091.1</v>
      </c>
    </row>
    <row r="149" spans="1:7" x14ac:dyDescent="0.35">
      <c r="A149" t="s">
        <v>126</v>
      </c>
      <c r="B149">
        <v>134</v>
      </c>
      <c r="C149">
        <v>134</v>
      </c>
      <c r="D149" s="2">
        <v>0.12</v>
      </c>
      <c r="E149" s="3">
        <v>5.0000000000000002E-28</v>
      </c>
      <c r="F149">
        <v>40.590000000000003</v>
      </c>
      <c r="G149" t="str">
        <f>HYPERLINK("https://www.ncbi.nlm.nih.gov/nucleotide/XM_007769767.1?report=genbank&amp;log$=nucltop&amp;blast_rank=44&amp;RID=0FYS3CMB016","XM_007769767.1")</f>
        <v>XM_007769767.1</v>
      </c>
    </row>
    <row r="150" spans="1:7" x14ac:dyDescent="0.35">
      <c r="A150" t="s">
        <v>126</v>
      </c>
      <c r="B150">
        <v>181</v>
      </c>
      <c r="C150">
        <v>181</v>
      </c>
      <c r="D150" s="2">
        <v>0.22</v>
      </c>
      <c r="E150" s="3">
        <v>1E-42</v>
      </c>
      <c r="F150">
        <v>40.56</v>
      </c>
      <c r="G150" t="str">
        <f>HYPERLINK("https://www.ncbi.nlm.nih.gov/nucleotide/XM_007767799.1?report=genbank&amp;log$=nucltop&amp;blast_rank=45&amp;RID=0FYS3CMB016","XM_007767799.1")</f>
        <v>XM_007767799.1</v>
      </c>
    </row>
    <row r="151" spans="1:7" x14ac:dyDescent="0.35">
      <c r="A151" t="s">
        <v>34</v>
      </c>
      <c r="B151">
        <v>446</v>
      </c>
      <c r="C151">
        <v>446</v>
      </c>
      <c r="D151" s="2">
        <v>0.52</v>
      </c>
      <c r="E151" s="3">
        <v>1E-139</v>
      </c>
      <c r="F151">
        <v>40</v>
      </c>
      <c r="G151" t="str">
        <f>HYPERLINK("https://www.ncbi.nlm.nih.gov/nucleotide/XM_001836368.2?report=genbank&amp;log$=nucltop&amp;blast_rank=46&amp;RID=0FYS3CMB016","XM_001836368.2")</f>
        <v>XM_001836368.2</v>
      </c>
    </row>
    <row r="152" spans="1:7" x14ac:dyDescent="0.35">
      <c r="A152" t="s">
        <v>33</v>
      </c>
      <c r="B152">
        <v>457</v>
      </c>
      <c r="C152">
        <v>457</v>
      </c>
      <c r="D152" s="2">
        <v>0.52</v>
      </c>
      <c r="E152" s="3">
        <v>3.9999999999999998E-143</v>
      </c>
      <c r="F152">
        <v>39.450000000000003</v>
      </c>
      <c r="G152" t="str">
        <f>HYPERLINK("https://www.ncbi.nlm.nih.gov/nucleotide/XM_007300020.1?report=genbank&amp;log$=nucltop&amp;blast_rank=47&amp;RID=0FYS3CMB016","XM_007300020.1")</f>
        <v>XM_007300020.1</v>
      </c>
    </row>
    <row r="153" spans="1:7" x14ac:dyDescent="0.35">
      <c r="A153" t="s">
        <v>19</v>
      </c>
      <c r="B153">
        <v>466</v>
      </c>
      <c r="C153">
        <v>466</v>
      </c>
      <c r="D153" s="2">
        <v>0.52</v>
      </c>
      <c r="E153" s="3">
        <v>3.0000000000000002E-147</v>
      </c>
      <c r="F153">
        <v>39.18</v>
      </c>
      <c r="G153" t="str">
        <f>HYPERLINK("https://www.ncbi.nlm.nih.gov/nucleotide/XM_001880890.1?report=genbank&amp;log$=nucltop&amp;blast_rank=48&amp;RID=0FYS3CMB016","XM_001880890.1")</f>
        <v>XM_001880890.1</v>
      </c>
    </row>
    <row r="154" spans="1:7" x14ac:dyDescent="0.35">
      <c r="A154" t="s">
        <v>35</v>
      </c>
      <c r="B154">
        <v>433</v>
      </c>
      <c r="C154">
        <v>433</v>
      </c>
      <c r="D154" s="2">
        <v>0.52</v>
      </c>
      <c r="E154" s="3">
        <v>1E-134</v>
      </c>
      <c r="F154">
        <v>38.99</v>
      </c>
      <c r="G154" t="str">
        <f>HYPERLINK("https://www.ncbi.nlm.nih.gov/nucleotide/XM_023610462.1?report=genbank&amp;log$=nucltop&amp;blast_rank=49&amp;RID=0FYS3CMB016","XM_023610462.1")</f>
        <v>XM_023610462.1</v>
      </c>
    </row>
    <row r="155" spans="1:7" x14ac:dyDescent="0.35">
      <c r="A155" t="s">
        <v>742</v>
      </c>
      <c r="B155">
        <v>216</v>
      </c>
      <c r="C155">
        <v>216</v>
      </c>
      <c r="D155" s="2">
        <v>0.38</v>
      </c>
      <c r="E155" s="3">
        <v>2.0000000000000001E-56</v>
      </c>
      <c r="F155">
        <v>37.78</v>
      </c>
      <c r="G155" t="str">
        <f>HYPERLINK("https://www.ncbi.nlm.nih.gov/nucleotide/XM_036779061.1?report=genbank&amp;log$=nucltop&amp;blast_rank=50&amp;RID=0FYS3CMB016","XM_036779061.1")</f>
        <v>XM_036779061.1</v>
      </c>
    </row>
    <row r="156" spans="1:7" x14ac:dyDescent="0.35">
      <c r="A156" t="s">
        <v>137</v>
      </c>
      <c r="B156">
        <v>248</v>
      </c>
      <c r="C156">
        <v>248</v>
      </c>
      <c r="D156" s="2">
        <v>0.39</v>
      </c>
      <c r="E156" s="3">
        <v>3.0000000000000003E-67</v>
      </c>
      <c r="F156">
        <v>37.78</v>
      </c>
      <c r="G156" t="str">
        <f>HYPERLINK("https://www.ncbi.nlm.nih.gov/nucleotide/XM_001836370.2?report=genbank&amp;log$=nucltop&amp;blast_rank=51&amp;RID=0FYS3CMB016","XM_001836370.2")</f>
        <v>XM_001836370.2</v>
      </c>
    </row>
    <row r="157" spans="1:7" x14ac:dyDescent="0.35">
      <c r="A157" t="s">
        <v>36</v>
      </c>
      <c r="B157">
        <v>106</v>
      </c>
      <c r="C157">
        <v>184</v>
      </c>
      <c r="D157" s="2">
        <v>0.36</v>
      </c>
      <c r="E157" s="3">
        <v>7.9999999999999995E-36</v>
      </c>
      <c r="F157">
        <v>36.57</v>
      </c>
      <c r="G157" t="str">
        <f>HYPERLINK("https://www.ncbi.nlm.nih.gov/nucleotide/AM270105.1?report=genbank&amp;log$=nucltop&amp;blast_rank=52&amp;RID=0FYS3CMB016","AM270105.1")</f>
        <v>AM270105.1</v>
      </c>
    </row>
    <row r="158" spans="1:7" x14ac:dyDescent="0.35">
      <c r="A158" t="s">
        <v>37</v>
      </c>
      <c r="B158">
        <v>307</v>
      </c>
      <c r="C158">
        <v>307</v>
      </c>
      <c r="D158" s="2">
        <v>0.5</v>
      </c>
      <c r="E158" s="3">
        <v>9.9999999999999996E-82</v>
      </c>
      <c r="F158">
        <v>36.409999999999997</v>
      </c>
      <c r="G158" t="str">
        <f>HYPERLINK("https://www.ncbi.nlm.nih.gov/nucleotide/LR732085.1?report=genbank&amp;log$=nucltop&amp;blast_rank=53&amp;RID=0FYS3CMB016","LR732085.1")</f>
        <v>LR732085.1</v>
      </c>
    </row>
    <row r="159" spans="1:7" x14ac:dyDescent="0.35">
      <c r="A159" t="s">
        <v>39</v>
      </c>
      <c r="B159">
        <v>357</v>
      </c>
      <c r="C159">
        <v>357</v>
      </c>
      <c r="D159" s="2">
        <v>0.52</v>
      </c>
      <c r="E159" s="3">
        <v>9.9999999999999997E-106</v>
      </c>
      <c r="F159">
        <v>36.380000000000003</v>
      </c>
      <c r="G159" t="str">
        <f>HYPERLINK("https://www.ncbi.nlm.nih.gov/nucleotide/XM_025316703.1?report=genbank&amp;log$=nucltop&amp;blast_rank=54&amp;RID=0FYS3CMB016","XM_025316703.1")</f>
        <v>XM_025316703.1</v>
      </c>
    </row>
    <row r="160" spans="1:7" x14ac:dyDescent="0.35">
      <c r="A160" t="s">
        <v>38</v>
      </c>
      <c r="B160">
        <v>165</v>
      </c>
      <c r="C160">
        <v>165</v>
      </c>
      <c r="D160" s="2">
        <v>0.26</v>
      </c>
      <c r="E160" s="3">
        <v>3.9999999999999997E-40</v>
      </c>
      <c r="F160">
        <v>35.03</v>
      </c>
      <c r="G160" t="str">
        <f>HYPERLINK("https://www.ncbi.nlm.nih.gov/nucleotide/XM_001221435.1?report=genbank&amp;log$=nucltop&amp;blast_rank=55&amp;RID=0FYS3CMB016","XM_001221435.1")</f>
        <v>XM_001221435.1</v>
      </c>
    </row>
    <row r="161" spans="1:7" x14ac:dyDescent="0.35">
      <c r="A161" s="4" t="s">
        <v>41</v>
      </c>
      <c r="B161" s="4">
        <v>182</v>
      </c>
      <c r="C161" s="4">
        <v>182</v>
      </c>
      <c r="D161" s="5">
        <v>0.36</v>
      </c>
      <c r="E161" s="6">
        <v>9.9999999999999995E-45</v>
      </c>
      <c r="F161" s="4">
        <v>34.03</v>
      </c>
      <c r="G161" s="4" t="str">
        <f>HYPERLINK("https://www.ncbi.nlm.nih.gov/nucleotide/XM_032045412.1?report=genbank&amp;log$=nucltop&amp;blast_rank=56&amp;RID=0FYS3CMB016","XM_032045412.1")</f>
        <v>XM_032045412.1</v>
      </c>
    </row>
    <row r="162" spans="1:7" x14ac:dyDescent="0.35">
      <c r="A162" t="s">
        <v>40</v>
      </c>
      <c r="B162">
        <v>190</v>
      </c>
      <c r="C162">
        <v>190</v>
      </c>
      <c r="D162" s="2">
        <v>0.36</v>
      </c>
      <c r="E162" s="3">
        <v>3.0000000000000002E-47</v>
      </c>
      <c r="F162">
        <v>33.26</v>
      </c>
      <c r="G162" t="str">
        <f>HYPERLINK("https://www.ncbi.nlm.nih.gov/nucleotide/XM_022531473.1?report=genbank&amp;log$=nucltop&amp;blast_rank=57&amp;RID=0FYS3CMB016","XM_022531473.1")</f>
        <v>XM_022531473.1</v>
      </c>
    </row>
    <row r="163" spans="1:7" x14ac:dyDescent="0.35">
      <c r="A163" t="s">
        <v>42</v>
      </c>
      <c r="B163">
        <v>187</v>
      </c>
      <c r="C163">
        <v>187</v>
      </c>
      <c r="D163" s="2">
        <v>0.36</v>
      </c>
      <c r="E163" s="3">
        <v>2.9999999999999999E-46</v>
      </c>
      <c r="F163">
        <v>33.11</v>
      </c>
      <c r="G163" t="str">
        <f>HYPERLINK("https://www.ncbi.nlm.nih.gov/nucleotide/XM_015554209.1?report=genbank&amp;log$=nucltop&amp;blast_rank=58&amp;RID=0FYS3CMB016","XM_015554209.1")</f>
        <v>XM_015554209.1</v>
      </c>
    </row>
    <row r="164" spans="1:7" x14ac:dyDescent="0.35">
      <c r="A164" t="s">
        <v>45</v>
      </c>
      <c r="B164">
        <v>198</v>
      </c>
      <c r="C164">
        <v>198</v>
      </c>
      <c r="D164" s="2">
        <v>0.38</v>
      </c>
      <c r="E164" s="3">
        <v>5.9999999999999998E-50</v>
      </c>
      <c r="F164">
        <v>33.03</v>
      </c>
      <c r="G164" t="str">
        <f>HYPERLINK("https://www.ncbi.nlm.nih.gov/nucleotide/XM_007926421.1?report=genbank&amp;log$=nucltop&amp;blast_rank=59&amp;RID=0FYS3CMB016","XM_007926421.1")</f>
        <v>XM_007926421.1</v>
      </c>
    </row>
    <row r="165" spans="1:7" x14ac:dyDescent="0.35">
      <c r="A165" t="s">
        <v>49</v>
      </c>
      <c r="B165">
        <v>150</v>
      </c>
      <c r="C165">
        <v>150</v>
      </c>
      <c r="D165" s="2">
        <v>0.33</v>
      </c>
      <c r="E165" s="3">
        <v>3.9999999999999997E-34</v>
      </c>
      <c r="F165">
        <v>32.729999999999997</v>
      </c>
      <c r="G165" t="str">
        <f>HYPERLINK("https://www.ncbi.nlm.nih.gov/nucleotide/XM_001217916.1?report=genbank&amp;log$=nucltop&amp;blast_rank=60&amp;RID=0FYS3CMB016","XM_001217916.1")</f>
        <v>XM_001217916.1</v>
      </c>
    </row>
    <row r="166" spans="1:7" x14ac:dyDescent="0.35">
      <c r="A166" s="4" t="s">
        <v>44</v>
      </c>
      <c r="B166" s="4">
        <v>168</v>
      </c>
      <c r="C166" s="4">
        <v>168</v>
      </c>
      <c r="D166" s="5">
        <v>0.32</v>
      </c>
      <c r="E166" s="6">
        <v>9.9999999999999993E-41</v>
      </c>
      <c r="F166" s="4">
        <v>32.72</v>
      </c>
      <c r="G166" s="4" t="str">
        <f>HYPERLINK("https://www.ncbi.nlm.nih.gov/nucleotide/XM_033572072.1?report=genbank&amp;log$=nucltop&amp;blast_rank=61&amp;RID=0FYS3CMB016","XM_033572072.1")</f>
        <v>XM_033572072.1</v>
      </c>
    </row>
    <row r="167" spans="1:7" x14ac:dyDescent="0.35">
      <c r="A167" t="s">
        <v>43</v>
      </c>
      <c r="B167">
        <v>178</v>
      </c>
      <c r="C167">
        <v>178</v>
      </c>
      <c r="D167" s="2">
        <v>0.39</v>
      </c>
      <c r="E167" s="3">
        <v>3E-43</v>
      </c>
      <c r="F167">
        <v>32.619999999999997</v>
      </c>
      <c r="G167" t="str">
        <f>HYPERLINK("https://www.ncbi.nlm.nih.gov/nucleotide/XM_022549209.1?report=genbank&amp;log$=nucltop&amp;blast_rank=62&amp;RID=0FYS3CMB016","XM_022549209.1")</f>
        <v>XM_022549209.1</v>
      </c>
    </row>
    <row r="168" spans="1:7" x14ac:dyDescent="0.35">
      <c r="A168" t="s">
        <v>48</v>
      </c>
      <c r="B168">
        <v>194</v>
      </c>
      <c r="C168">
        <v>194</v>
      </c>
      <c r="D168" s="2">
        <v>0.37</v>
      </c>
      <c r="E168" s="3">
        <v>1.9999999999999999E-47</v>
      </c>
      <c r="F168">
        <v>32.54</v>
      </c>
      <c r="G168" t="str">
        <f>HYPERLINK("https://www.ncbi.nlm.nih.gov/nucleotide/XM_009499650.1?report=genbank&amp;log$=nucltop&amp;blast_rank=63&amp;RID=0FYS3CMB016","XM_009499650.1")</f>
        <v>XM_009499650.1</v>
      </c>
    </row>
    <row r="169" spans="1:7" x14ac:dyDescent="0.35">
      <c r="A169" t="s">
        <v>51</v>
      </c>
      <c r="B169">
        <v>189</v>
      </c>
      <c r="C169">
        <v>189</v>
      </c>
      <c r="D169" s="2">
        <v>0.36</v>
      </c>
      <c r="E169" s="3">
        <v>9E-47</v>
      </c>
      <c r="F169">
        <v>32.49</v>
      </c>
      <c r="G169" t="str">
        <f>HYPERLINK("https://www.ncbi.nlm.nih.gov/nucleotide/XM_025528552.1?report=genbank&amp;log$=nucltop&amp;blast_rank=64&amp;RID=0FYS3CMB016","XM_025528552.1")</f>
        <v>XM_025528552.1</v>
      </c>
    </row>
    <row r="170" spans="1:7" x14ac:dyDescent="0.35">
      <c r="A170" s="4" t="s">
        <v>47</v>
      </c>
      <c r="B170" s="4">
        <v>184</v>
      </c>
      <c r="C170" s="4">
        <v>184</v>
      </c>
      <c r="D170" s="5">
        <v>0.36</v>
      </c>
      <c r="E170" s="6">
        <v>3.9999999999999999E-45</v>
      </c>
      <c r="F170" s="4">
        <v>32.42</v>
      </c>
      <c r="G170" s="4" t="str">
        <f>HYPERLINK("https://www.ncbi.nlm.nih.gov/nucleotide/XM_032089869.1?report=genbank&amp;log$=nucltop&amp;blast_rank=65&amp;RID=0FYS3CMB016","XM_032089869.1")</f>
        <v>XM_032089869.1</v>
      </c>
    </row>
    <row r="171" spans="1:7" x14ac:dyDescent="0.35">
      <c r="A171" s="4" t="s">
        <v>65</v>
      </c>
      <c r="B171" s="4">
        <v>191</v>
      </c>
      <c r="C171" s="4">
        <v>191</v>
      </c>
      <c r="D171" s="5">
        <v>0.36</v>
      </c>
      <c r="E171" s="6">
        <v>5.0000000000000001E-47</v>
      </c>
      <c r="F171" s="4">
        <v>32.25</v>
      </c>
      <c r="G171" s="4" t="str">
        <f>HYPERLINK("https://www.ncbi.nlm.nih.gov/nucleotide/XM_026774556.1?report=genbank&amp;log$=nucltop&amp;blast_rank=66&amp;RID=0FYS3CMB016","XM_026774556.1")</f>
        <v>XM_026774556.1</v>
      </c>
    </row>
    <row r="172" spans="1:7" x14ac:dyDescent="0.35">
      <c r="A172" t="s">
        <v>50</v>
      </c>
      <c r="B172">
        <v>195</v>
      </c>
      <c r="C172">
        <v>195</v>
      </c>
      <c r="D172" s="2">
        <v>0.38</v>
      </c>
      <c r="E172" s="3">
        <v>9.9999999999999997E-49</v>
      </c>
      <c r="F172">
        <v>32.24</v>
      </c>
      <c r="G172" t="str">
        <f>HYPERLINK("https://www.ncbi.nlm.nih.gov/nucleotide/XM_032058508.1?report=genbank&amp;log$=nucltop&amp;blast_rank=67&amp;RID=0FYS3CMB016","XM_032058508.1")</f>
        <v>XM_032058508.1</v>
      </c>
    </row>
    <row r="173" spans="1:7" x14ac:dyDescent="0.35">
      <c r="A173" t="s">
        <v>69</v>
      </c>
      <c r="B173">
        <v>189</v>
      </c>
      <c r="C173">
        <v>189</v>
      </c>
      <c r="D173" s="2">
        <v>0.36</v>
      </c>
      <c r="E173" s="3">
        <v>1E-46</v>
      </c>
      <c r="F173">
        <v>32.090000000000003</v>
      </c>
      <c r="G173" t="str">
        <f>HYPERLINK("https://www.ncbi.nlm.nih.gov/nucleotide/XM_001390712.2?report=genbank&amp;log$=nucltop&amp;blast_rank=68&amp;RID=0FYS3CMB016","XM_001390712.2")</f>
        <v>XM_001390712.2</v>
      </c>
    </row>
    <row r="174" spans="1:7" x14ac:dyDescent="0.35">
      <c r="A174" t="s">
        <v>56</v>
      </c>
      <c r="B174">
        <v>171</v>
      </c>
      <c r="C174">
        <v>171</v>
      </c>
      <c r="D174" s="2">
        <v>0.36</v>
      </c>
      <c r="E174" s="3">
        <v>2E-41</v>
      </c>
      <c r="F174">
        <v>31.85</v>
      </c>
      <c r="G174" t="str">
        <f>HYPERLINK("https://www.ncbi.nlm.nih.gov/nucleotide/XM_024844676.1?report=genbank&amp;log$=nucltop&amp;blast_rank=69&amp;RID=0FYS3CMB016","XM_024844676.1")</f>
        <v>XM_024844676.1</v>
      </c>
    </row>
    <row r="175" spans="1:7" x14ac:dyDescent="0.35">
      <c r="A175" t="s">
        <v>52</v>
      </c>
      <c r="B175">
        <v>138</v>
      </c>
      <c r="C175">
        <v>138</v>
      </c>
      <c r="D175" s="2">
        <v>0.28999999999999998</v>
      </c>
      <c r="E175" s="3">
        <v>1.0000000000000001E-31</v>
      </c>
      <c r="F175">
        <v>31.75</v>
      </c>
      <c r="G175" t="str">
        <f>HYPERLINK("https://www.ncbi.nlm.nih.gov/nucleotide/XM_003857413.1?report=genbank&amp;log$=nucltop&amp;blast_rank=70&amp;RID=0FYS3CMB016","XM_003857413.1")</f>
        <v>XM_003857413.1</v>
      </c>
    </row>
    <row r="176" spans="1:7" x14ac:dyDescent="0.35">
      <c r="A176" s="4" t="s">
        <v>55</v>
      </c>
      <c r="B176" s="4">
        <v>181</v>
      </c>
      <c r="C176" s="4">
        <v>181</v>
      </c>
      <c r="D176" s="5">
        <v>0.38</v>
      </c>
      <c r="E176" s="6">
        <v>6.0000000000000005E-44</v>
      </c>
      <c r="F176" s="4">
        <v>31.43</v>
      </c>
      <c r="G176" s="4" t="str">
        <f>HYPERLINK("https://www.ncbi.nlm.nih.gov/nucleotide/XM_032074407.1?report=genbank&amp;log$=nucltop&amp;blast_rank=71&amp;RID=0FYS3CMB016","XM_032074407.1")</f>
        <v>XM_032074407.1</v>
      </c>
    </row>
    <row r="177" spans="1:7" x14ac:dyDescent="0.35">
      <c r="A177" t="s">
        <v>54</v>
      </c>
      <c r="B177">
        <v>141</v>
      </c>
      <c r="C177">
        <v>224</v>
      </c>
      <c r="D177" s="2">
        <v>0.41</v>
      </c>
      <c r="E177" s="3">
        <v>2.0000000000000002E-31</v>
      </c>
      <c r="F177">
        <v>31.37</v>
      </c>
      <c r="G177" t="str">
        <f>HYPERLINK("https://www.ncbi.nlm.nih.gov/nucleotide/LT853692.1?report=genbank&amp;log$=nucltop&amp;blast_rank=72&amp;RID=0FYS3CMB016","LT853692.1")</f>
        <v>LT853692.1</v>
      </c>
    </row>
    <row r="178" spans="1:7" x14ac:dyDescent="0.35">
      <c r="A178" t="s">
        <v>53</v>
      </c>
      <c r="B178">
        <v>181</v>
      </c>
      <c r="C178">
        <v>181</v>
      </c>
      <c r="D178" s="2">
        <v>0.36</v>
      </c>
      <c r="E178" s="3">
        <v>2.0000000000000002E-43</v>
      </c>
      <c r="F178">
        <v>31.19</v>
      </c>
      <c r="G178" t="str">
        <f>HYPERLINK("https://www.ncbi.nlm.nih.gov/nucleotide/XM_025704096.1?report=genbank&amp;log$=nucltop&amp;blast_rank=73&amp;RID=0FYS3CMB016","XM_025704096.1")</f>
        <v>XM_025704096.1</v>
      </c>
    </row>
    <row r="179" spans="1:7" x14ac:dyDescent="0.35">
      <c r="A179" t="s">
        <v>61</v>
      </c>
      <c r="B179">
        <v>160</v>
      </c>
      <c r="C179">
        <v>160</v>
      </c>
      <c r="D179" s="2">
        <v>0.39</v>
      </c>
      <c r="E179" s="3">
        <v>4.9999999999999997E-37</v>
      </c>
      <c r="F179">
        <v>31.06</v>
      </c>
      <c r="G179" t="str">
        <f>HYPERLINK("https://www.ncbi.nlm.nih.gov/nucleotide/XM_024831712.1?report=genbank&amp;log$=nucltop&amp;blast_rank=74&amp;RID=0FYS3CMB016","XM_024831712.1")</f>
        <v>XM_024831712.1</v>
      </c>
    </row>
    <row r="180" spans="1:7" x14ac:dyDescent="0.35">
      <c r="A180" t="s">
        <v>57</v>
      </c>
      <c r="B180">
        <v>140</v>
      </c>
      <c r="C180">
        <v>224</v>
      </c>
      <c r="D180" s="2">
        <v>0.41</v>
      </c>
      <c r="E180" s="3">
        <v>2.9999999999999998E-31</v>
      </c>
      <c r="F180">
        <v>30.83</v>
      </c>
      <c r="G180" t="str">
        <f>HYPERLINK("https://www.ncbi.nlm.nih.gov/nucleotide/LT854253.1?report=genbank&amp;log$=nucltop&amp;blast_rank=75&amp;RID=0FYS3CMB016","LT854253.1")</f>
        <v>LT854253.1</v>
      </c>
    </row>
    <row r="181" spans="1:7" x14ac:dyDescent="0.35">
      <c r="A181" t="s">
        <v>58</v>
      </c>
      <c r="B181">
        <v>140</v>
      </c>
      <c r="C181">
        <v>223</v>
      </c>
      <c r="D181" s="2">
        <v>0.41</v>
      </c>
      <c r="E181" s="3">
        <v>2.9999999999999998E-31</v>
      </c>
      <c r="F181">
        <v>30.83</v>
      </c>
      <c r="G181" t="str">
        <f>HYPERLINK("https://www.ncbi.nlm.nih.gov/nucleotide/LT854273.1?report=genbank&amp;log$=nucltop&amp;blast_rank=76&amp;RID=0FYS3CMB016","LT854273.1")</f>
        <v>LT854273.1</v>
      </c>
    </row>
    <row r="182" spans="1:7" x14ac:dyDescent="0.35">
      <c r="A182" t="s">
        <v>59</v>
      </c>
      <c r="B182">
        <v>140</v>
      </c>
      <c r="C182">
        <v>223</v>
      </c>
      <c r="D182" s="2">
        <v>0.41</v>
      </c>
      <c r="E182" s="3">
        <v>2.9999999999999998E-31</v>
      </c>
      <c r="F182">
        <v>30.83</v>
      </c>
      <c r="G182" t="str">
        <f>HYPERLINK("https://www.ncbi.nlm.nih.gov/nucleotide/LT882676.1?report=genbank&amp;log$=nucltop&amp;blast_rank=77&amp;RID=0FYS3CMB016","LT882676.1")</f>
        <v>LT882676.1</v>
      </c>
    </row>
    <row r="183" spans="1:7" x14ac:dyDescent="0.35">
      <c r="A183" t="s">
        <v>60</v>
      </c>
      <c r="B183">
        <v>173</v>
      </c>
      <c r="C183">
        <v>173</v>
      </c>
      <c r="D183" s="2">
        <v>0.36</v>
      </c>
      <c r="E183" s="3">
        <v>4.9999999999999996E-41</v>
      </c>
      <c r="F183">
        <v>30.77</v>
      </c>
      <c r="G183" t="str">
        <f>HYPERLINK("https://www.ncbi.nlm.nih.gov/nucleotide/XM_035498527.1?report=genbank&amp;log$=nucltop&amp;blast_rank=78&amp;RID=0FYS3CMB016","XM_035498527.1")</f>
        <v>XM_035498527.1</v>
      </c>
    </row>
    <row r="184" spans="1:7" x14ac:dyDescent="0.35">
      <c r="A184" t="s">
        <v>80</v>
      </c>
      <c r="B184">
        <v>172</v>
      </c>
      <c r="C184">
        <v>172</v>
      </c>
      <c r="D184" s="2">
        <v>0.36</v>
      </c>
      <c r="E184" s="3">
        <v>9.9999999999999993E-41</v>
      </c>
      <c r="F184">
        <v>30.51</v>
      </c>
      <c r="G184" t="str">
        <f>HYPERLINK("https://www.ncbi.nlm.nih.gov/nucleotide/XM_025662501.1?report=genbank&amp;log$=nucltop&amp;blast_rank=79&amp;RID=0FYS3CMB016","XM_025662501.1")</f>
        <v>XM_025662501.1</v>
      </c>
    </row>
    <row r="185" spans="1:7" x14ac:dyDescent="0.35">
      <c r="A185" t="s">
        <v>64</v>
      </c>
      <c r="B185">
        <v>152</v>
      </c>
      <c r="C185">
        <v>152</v>
      </c>
      <c r="D185" s="2">
        <v>0.37</v>
      </c>
      <c r="E185" s="3">
        <v>6.9999999999999997E-34</v>
      </c>
      <c r="F185">
        <v>29.89</v>
      </c>
      <c r="G185" t="str">
        <f>HYPERLINK("https://www.ncbi.nlm.nih.gov/nucleotide/XM_025524425.1?report=genbank&amp;log$=nucltop&amp;blast_rank=80&amp;RID=0FYS3CMB016","XM_025524425.1")</f>
        <v>XM_025524425.1</v>
      </c>
    </row>
    <row r="186" spans="1:7" x14ac:dyDescent="0.35">
      <c r="A186" t="s">
        <v>68</v>
      </c>
      <c r="B186">
        <v>142</v>
      </c>
      <c r="C186">
        <v>142</v>
      </c>
      <c r="D186" s="2">
        <v>0.33</v>
      </c>
      <c r="E186" s="3">
        <v>3E-32</v>
      </c>
      <c r="F186">
        <v>29.85</v>
      </c>
      <c r="G186" t="str">
        <f>HYPERLINK("https://www.ncbi.nlm.nih.gov/nucleotide/XM_001262908.1?report=genbank&amp;log$=nucltop&amp;blast_rank=81&amp;RID=0FYS3CMB016","XM_001262908.1")</f>
        <v>XM_001262908.1</v>
      </c>
    </row>
    <row r="187" spans="1:7" x14ac:dyDescent="0.35">
      <c r="A187" t="s">
        <v>78</v>
      </c>
      <c r="B187">
        <v>144</v>
      </c>
      <c r="C187">
        <v>144</v>
      </c>
      <c r="D187" s="2">
        <v>0.33</v>
      </c>
      <c r="E187" s="3">
        <v>8.0000000000000004E-33</v>
      </c>
      <c r="F187">
        <v>29.74</v>
      </c>
      <c r="G187" t="str">
        <f>HYPERLINK("https://www.ncbi.nlm.nih.gov/nucleotide/XM_001262909.1?report=genbank&amp;log$=nucltop&amp;blast_rank=82&amp;RID=0FYS3CMB016","XM_001262909.1")</f>
        <v>XM_001262909.1</v>
      </c>
    </row>
    <row r="188" spans="1:7" x14ac:dyDescent="0.35">
      <c r="A188" t="s">
        <v>79</v>
      </c>
      <c r="B188">
        <v>164</v>
      </c>
      <c r="C188">
        <v>164</v>
      </c>
      <c r="D188" s="2">
        <v>0.33</v>
      </c>
      <c r="E188" s="3">
        <v>1.9999999999999999E-38</v>
      </c>
      <c r="F188">
        <v>29.65</v>
      </c>
      <c r="G188" t="str">
        <f>HYPERLINK("https://www.ncbi.nlm.nih.gov/nucleotide/XM_033553550.1?report=genbank&amp;log$=nucltop&amp;blast_rank=83&amp;RID=0FYS3CMB016","XM_033553550.1")</f>
        <v>XM_033553550.1</v>
      </c>
    </row>
    <row r="189" spans="1:7" x14ac:dyDescent="0.35">
      <c r="A189" t="s">
        <v>84</v>
      </c>
      <c r="B189">
        <v>161</v>
      </c>
      <c r="C189">
        <v>161</v>
      </c>
      <c r="D189" s="2">
        <v>0.37</v>
      </c>
      <c r="E189" s="3">
        <v>2.0000000000000001E-37</v>
      </c>
      <c r="F189">
        <v>29.52</v>
      </c>
      <c r="G189" t="str">
        <f>HYPERLINK("https://www.ncbi.nlm.nih.gov/nucleotide/XM_023599633.1?report=genbank&amp;log$=nucltop&amp;blast_rank=84&amp;RID=0FYS3CMB016","XM_023599633.1")</f>
        <v>XM_023599633.1</v>
      </c>
    </row>
    <row r="190" spans="1:7" x14ac:dyDescent="0.35">
      <c r="A190" t="s">
        <v>69</v>
      </c>
      <c r="B190">
        <v>163</v>
      </c>
      <c r="C190">
        <v>163</v>
      </c>
      <c r="D190" s="2">
        <v>0.45</v>
      </c>
      <c r="E190" s="3">
        <v>1.9999999999999999E-38</v>
      </c>
      <c r="F190">
        <v>29.47</v>
      </c>
      <c r="G190" t="str">
        <f>HYPERLINK("https://www.ncbi.nlm.nih.gov/nucleotide/XM_001401884.2?report=genbank&amp;log$=nucltop&amp;blast_rank=85&amp;RID=0FYS3CMB016","XM_001401884.2")</f>
        <v>XM_001401884.2</v>
      </c>
    </row>
    <row r="191" spans="1:7" x14ac:dyDescent="0.35">
      <c r="A191" t="s">
        <v>72</v>
      </c>
      <c r="B191">
        <v>164</v>
      </c>
      <c r="C191">
        <v>164</v>
      </c>
      <c r="D191" s="2">
        <v>0.45</v>
      </c>
      <c r="E191" s="3">
        <v>3.9999999999999998E-38</v>
      </c>
      <c r="F191">
        <v>29.47</v>
      </c>
      <c r="G191" t="str">
        <f>HYPERLINK("https://www.ncbi.nlm.nih.gov/nucleotide/XM_025601684.1?report=genbank&amp;log$=nucltop&amp;blast_rank=86&amp;RID=0FYS3CMB016","XM_025601684.1")</f>
        <v>XM_025601684.1</v>
      </c>
    </row>
    <row r="192" spans="1:7" x14ac:dyDescent="0.35">
      <c r="A192" t="s">
        <v>85</v>
      </c>
      <c r="B192">
        <v>187</v>
      </c>
      <c r="C192">
        <v>187</v>
      </c>
      <c r="D192" s="2">
        <v>0.45</v>
      </c>
      <c r="E192" s="3">
        <v>2.9999999999999999E-46</v>
      </c>
      <c r="F192">
        <v>29.44</v>
      </c>
      <c r="G192" t="str">
        <f>HYPERLINK("https://www.ncbi.nlm.nih.gov/nucleotide/XM_002559523.1?report=genbank&amp;log$=nucltop&amp;blast_rank=87&amp;RID=0FYS3CMB016","XM_002559523.1")</f>
        <v>XM_002559523.1</v>
      </c>
    </row>
    <row r="193" spans="1:7" x14ac:dyDescent="0.35">
      <c r="A193" t="s">
        <v>90</v>
      </c>
      <c r="B193">
        <v>161</v>
      </c>
      <c r="C193">
        <v>161</v>
      </c>
      <c r="D193" s="2">
        <v>0.36</v>
      </c>
      <c r="E193" s="3">
        <v>6E-37</v>
      </c>
      <c r="F193">
        <v>29.01</v>
      </c>
      <c r="G193" t="str">
        <f>HYPERLINK("https://www.ncbi.nlm.nih.gov/nucleotide/XM_025683366.1?report=genbank&amp;log$=nucltop&amp;blast_rank=88&amp;RID=0FYS3CMB016","XM_025683366.1")</f>
        <v>XM_025683366.1</v>
      </c>
    </row>
    <row r="194" spans="1:7" x14ac:dyDescent="0.35">
      <c r="A194" t="s">
        <v>86</v>
      </c>
      <c r="B194">
        <v>140</v>
      </c>
      <c r="C194">
        <v>171</v>
      </c>
      <c r="D194" s="2">
        <v>0.43</v>
      </c>
      <c r="E194" s="3">
        <v>5.0000000000000004E-32</v>
      </c>
      <c r="F194">
        <v>28.92</v>
      </c>
      <c r="G194" t="str">
        <f>HYPERLINK("https://www.ncbi.nlm.nih.gov/nucleotide/AM920428.1?report=genbank&amp;log$=nucltop&amp;blast_rank=89&amp;RID=0FYS3CMB016","AM920428.1")</f>
        <v>AM920428.1</v>
      </c>
    </row>
    <row r="195" spans="1:7" x14ac:dyDescent="0.35">
      <c r="A195" t="s">
        <v>81</v>
      </c>
      <c r="B195">
        <v>136</v>
      </c>
      <c r="C195">
        <v>136</v>
      </c>
      <c r="D195" s="2">
        <v>0.35</v>
      </c>
      <c r="E195" s="3">
        <v>9.9999999999999994E-30</v>
      </c>
      <c r="F195">
        <v>28.71</v>
      </c>
      <c r="G195" t="str">
        <f>HYPERLINK("https://www.ncbi.nlm.nih.gov/nucleotide/XM_011327711.1?report=genbank&amp;log$=nucltop&amp;blast_rank=90&amp;RID=0FYS3CMB016","XM_011327711.1")</f>
        <v>XM_011327711.1</v>
      </c>
    </row>
    <row r="196" spans="1:7" x14ac:dyDescent="0.35">
      <c r="A196" t="s">
        <v>89</v>
      </c>
      <c r="B196">
        <v>141</v>
      </c>
      <c r="C196">
        <v>141</v>
      </c>
      <c r="D196" s="2">
        <v>0.35</v>
      </c>
      <c r="E196" s="3">
        <v>2.0000000000000002E-30</v>
      </c>
      <c r="F196">
        <v>28.24</v>
      </c>
      <c r="G196" t="str">
        <f>HYPERLINK("https://www.ncbi.nlm.nih.gov/nucleotide/XM_024828224.1?report=genbank&amp;log$=nucltop&amp;blast_rank=91&amp;RID=0FYS3CMB016","XM_024828224.1")</f>
        <v>XM_024828224.1</v>
      </c>
    </row>
    <row r="197" spans="1:7" x14ac:dyDescent="0.35">
      <c r="A197" t="s">
        <v>743</v>
      </c>
      <c r="B197">
        <v>134</v>
      </c>
      <c r="C197">
        <v>134</v>
      </c>
      <c r="D197" s="2">
        <v>0.33</v>
      </c>
      <c r="E197" s="3">
        <v>3.0000000000000001E-27</v>
      </c>
      <c r="F197">
        <v>28.23</v>
      </c>
      <c r="G197" t="str">
        <f>HYPERLINK("https://www.ncbi.nlm.nih.gov/nucleotide/CP066504.1?report=genbank&amp;log$=nucltop&amp;blast_rank=92&amp;RID=0FYS3CMB016","CP066504.1")</f>
        <v>CP066504.1</v>
      </c>
    </row>
    <row r="198" spans="1:7" x14ac:dyDescent="0.35">
      <c r="A198" t="s">
        <v>76</v>
      </c>
      <c r="B198">
        <v>145</v>
      </c>
      <c r="C198">
        <v>145</v>
      </c>
      <c r="D198" s="2">
        <v>0.35</v>
      </c>
      <c r="E198" s="3">
        <v>4.0000000000000002E-32</v>
      </c>
      <c r="F198">
        <v>28.21</v>
      </c>
      <c r="G198" t="str">
        <f>HYPERLINK("https://www.ncbi.nlm.nih.gov/nucleotide/XM_026762387.1?report=genbank&amp;log$=nucltop&amp;blast_rank=93&amp;RID=0FYS3CMB016","XM_026762387.1")</f>
        <v>XM_026762387.1</v>
      </c>
    </row>
    <row r="199" spans="1:7" x14ac:dyDescent="0.35">
      <c r="A199" t="s">
        <v>66</v>
      </c>
      <c r="B199">
        <v>164</v>
      </c>
      <c r="C199">
        <v>164</v>
      </c>
      <c r="D199" s="2">
        <v>0.46</v>
      </c>
      <c r="E199" s="3">
        <v>9.9999999999999996E-39</v>
      </c>
      <c r="F199">
        <v>28.08</v>
      </c>
      <c r="G199" t="str">
        <f>HYPERLINK("https://www.ncbi.nlm.nih.gov/nucleotide/XM_035498118.1?report=genbank&amp;log$=nucltop&amp;blast_rank=94&amp;RID=0FYS3CMB016","XM_035498118.1")</f>
        <v>XM_035498118.1</v>
      </c>
    </row>
    <row r="200" spans="1:7" x14ac:dyDescent="0.35">
      <c r="A200" s="4" t="s">
        <v>87</v>
      </c>
      <c r="B200" s="4">
        <v>140</v>
      </c>
      <c r="C200" s="4">
        <v>140</v>
      </c>
      <c r="D200" s="5">
        <v>0.35</v>
      </c>
      <c r="E200" s="6">
        <v>9.9999999999999994E-30</v>
      </c>
      <c r="F200" s="4">
        <v>27.6</v>
      </c>
      <c r="G200" s="4" t="str">
        <f>HYPERLINK("https://www.ncbi.nlm.nih.gov/nucleotide/XM_007819030.2?report=genbank&amp;log$=nucltop&amp;blast_rank=95&amp;RID=0FYS3CMB016","XM_007819030.2")</f>
        <v>XM_007819030.2</v>
      </c>
    </row>
    <row r="201" spans="1:7" x14ac:dyDescent="0.35">
      <c r="A201" t="s">
        <v>97</v>
      </c>
      <c r="B201">
        <v>139</v>
      </c>
      <c r="C201">
        <v>139</v>
      </c>
      <c r="D201" s="2">
        <v>0.35</v>
      </c>
      <c r="E201" s="3">
        <v>4.0000000000000003E-30</v>
      </c>
      <c r="F201">
        <v>27.19</v>
      </c>
      <c r="G201" t="str">
        <f>HYPERLINK("https://www.ncbi.nlm.nih.gov/nucleotide/XM_035484606.1?report=genbank&amp;log$=nucltop&amp;blast_rank=96&amp;RID=0FYS3CMB016","XM_035484606.1")</f>
        <v>XM_035484606.1</v>
      </c>
    </row>
    <row r="202" spans="1:7" x14ac:dyDescent="0.35">
      <c r="A202" t="s">
        <v>99</v>
      </c>
      <c r="B202">
        <v>137</v>
      </c>
      <c r="C202">
        <v>137</v>
      </c>
      <c r="D202" s="2">
        <v>0.36</v>
      </c>
      <c r="E202" s="3">
        <v>9.9999999999999997E-29</v>
      </c>
      <c r="F202">
        <v>27.08</v>
      </c>
      <c r="G202" t="str">
        <f>HYPERLINK("https://www.ncbi.nlm.nih.gov/nucleotide/XM_014687487.1?report=genbank&amp;log$=nucltop&amp;blast_rank=97&amp;RID=0FYS3CMB016","XM_014687487.1")</f>
        <v>XM_014687487.1</v>
      </c>
    </row>
    <row r="203" spans="1:7" x14ac:dyDescent="0.35">
      <c r="A203" t="s">
        <v>98</v>
      </c>
      <c r="B203">
        <v>132</v>
      </c>
      <c r="C203">
        <v>258</v>
      </c>
      <c r="D203" s="2">
        <v>0.4</v>
      </c>
      <c r="E203" s="3">
        <v>6.0000000000000002E-27</v>
      </c>
      <c r="F203">
        <v>26.8</v>
      </c>
      <c r="G203" t="str">
        <f>HYPERLINK("https://www.ncbi.nlm.nih.gov/nucleotide/XM_026749516.1?report=genbank&amp;log$=nucltop&amp;blast_rank=98&amp;RID=0FYS3CMB016","XM_026749516.1")</f>
        <v>XM_026749516.1</v>
      </c>
    </row>
    <row r="204" spans="1:7" x14ac:dyDescent="0.35">
      <c r="A204" t="s">
        <v>96</v>
      </c>
      <c r="B204">
        <v>139</v>
      </c>
      <c r="C204">
        <v>139</v>
      </c>
      <c r="D204" s="2">
        <v>0.45</v>
      </c>
      <c r="E204" s="3">
        <v>1.9999999999999999E-29</v>
      </c>
      <c r="F204">
        <v>26.73</v>
      </c>
      <c r="G204" t="str">
        <f>HYPERLINK("https://www.ncbi.nlm.nih.gov/nucleotide/XM_026772820.1?report=genbank&amp;log$=nucltop&amp;blast_rank=99&amp;RID=0FYS3CMB016","XM_026772820.1")</f>
        <v>XM_026772820.1</v>
      </c>
    </row>
    <row r="205" spans="1:7" x14ac:dyDescent="0.35">
      <c r="A205" t="s">
        <v>105</v>
      </c>
      <c r="B205">
        <v>134</v>
      </c>
      <c r="C205">
        <v>134</v>
      </c>
      <c r="D205" s="2">
        <v>0.39</v>
      </c>
      <c r="E205" s="3">
        <v>7.9999999999999998E-28</v>
      </c>
      <c r="F205">
        <v>26.06</v>
      </c>
      <c r="G205" t="str">
        <f>HYPERLINK("https://www.ncbi.nlm.nih.gov/nucleotide/XM_033555780.1?report=genbank&amp;log$=nucltop&amp;blast_rank=100&amp;RID=0FYS3CMB016","XM_033555780.1")</f>
        <v>XM_033555780.1</v>
      </c>
    </row>
    <row r="206" spans="1:7" x14ac:dyDescent="0.35">
      <c r="A206" s="1" t="s">
        <v>744</v>
      </c>
    </row>
    <row r="207" spans="1:7" x14ac:dyDescent="0.35">
      <c r="A207" s="1" t="s">
        <v>766</v>
      </c>
    </row>
    <row r="208" spans="1:7" x14ac:dyDescent="0.35">
      <c r="A208" s="1" t="s">
        <v>2</v>
      </c>
      <c r="B208" s="1" t="s">
        <v>3</v>
      </c>
      <c r="C208" s="1" t="s">
        <v>4</v>
      </c>
      <c r="D208" s="1" t="s">
        <v>5</v>
      </c>
      <c r="E208" s="1" t="s">
        <v>6</v>
      </c>
      <c r="F208" s="1" t="s">
        <v>7</v>
      </c>
      <c r="G208" s="1" t="s">
        <v>8</v>
      </c>
    </row>
    <row r="209" spans="1:7" x14ac:dyDescent="0.35">
      <c r="A209" t="s">
        <v>37</v>
      </c>
      <c r="B209">
        <v>165</v>
      </c>
      <c r="C209">
        <v>290</v>
      </c>
      <c r="D209" s="2">
        <v>0.54</v>
      </c>
      <c r="E209" s="3">
        <v>3E-68</v>
      </c>
      <c r="F209">
        <v>64.540000000000006</v>
      </c>
      <c r="G209" t="str">
        <f>HYPERLINK("https://www.ncbi.nlm.nih.gov/nucleotide/LR732085.1?report=genbank&amp;log$=nucltop&amp;blast_rank=1&amp;RID=0FYUS1V0016","LR732085.1")</f>
        <v>LR732085.1</v>
      </c>
    </row>
    <row r="210" spans="1:7" x14ac:dyDescent="0.35">
      <c r="A210" t="s">
        <v>405</v>
      </c>
      <c r="B210">
        <v>85.9</v>
      </c>
      <c r="C210">
        <v>85.9</v>
      </c>
      <c r="D210" s="2">
        <v>0.22</v>
      </c>
      <c r="E210" s="3">
        <v>5.0000000000000002E-14</v>
      </c>
      <c r="F210">
        <v>55.29</v>
      </c>
      <c r="G210" t="str">
        <f>HYPERLINK("https://www.ncbi.nlm.nih.gov/nucleotide/CP019382.1?report=genbank&amp;log$=nucltop&amp;blast_rank=2&amp;RID=0FYUS1V0016","CP019382.1")</f>
        <v>CP019382.1</v>
      </c>
    </row>
    <row r="211" spans="1:7" x14ac:dyDescent="0.35">
      <c r="A211" t="s">
        <v>385</v>
      </c>
      <c r="B211">
        <v>67.8</v>
      </c>
      <c r="C211">
        <v>67.8</v>
      </c>
      <c r="D211" s="2">
        <v>0.18</v>
      </c>
      <c r="E211" s="3">
        <v>4.9999999999999998E-8</v>
      </c>
      <c r="F211">
        <v>52.31</v>
      </c>
      <c r="G211" t="str">
        <f>HYPERLINK("https://www.ncbi.nlm.nih.gov/nucleotide/CP015468.1?report=genbank&amp;log$=nucltop&amp;blast_rank=3&amp;RID=0FYUS1V0016","CP015468.1")</f>
        <v>CP015468.1</v>
      </c>
    </row>
    <row r="212" spans="1:7" x14ac:dyDescent="0.35">
      <c r="A212" t="s">
        <v>126</v>
      </c>
      <c r="B212">
        <v>82.4</v>
      </c>
      <c r="C212">
        <v>82.4</v>
      </c>
      <c r="D212" s="2">
        <v>0.23</v>
      </c>
      <c r="E212" s="3">
        <v>7.0000000000000005E-14</v>
      </c>
      <c r="F212">
        <v>51.22</v>
      </c>
      <c r="G212" t="str">
        <f>HYPERLINK("https://www.ncbi.nlm.nih.gov/nucleotide/XM_007776238.1?report=genbank&amp;log$=nucltop&amp;blast_rank=4&amp;RID=0FYUS1V0016","XM_007776238.1")</f>
        <v>XM_007776238.1</v>
      </c>
    </row>
    <row r="213" spans="1:7" x14ac:dyDescent="0.35">
      <c r="A213" s="4" t="s">
        <v>494</v>
      </c>
      <c r="B213" s="4">
        <v>74.3</v>
      </c>
      <c r="C213" s="4">
        <v>74.3</v>
      </c>
      <c r="D213" s="5">
        <v>0.22</v>
      </c>
      <c r="E213" s="6">
        <v>1E-10</v>
      </c>
      <c r="F213" s="4">
        <v>48.75</v>
      </c>
      <c r="G213" s="4" t="str">
        <f>HYPERLINK("https://www.ncbi.nlm.nih.gov/nucleotide/XM_001835028.2?report=genbank&amp;log$=nucltop&amp;blast_rank=5&amp;RID=0FYUS1V0016","XM_001835028.2")</f>
        <v>XM_001835028.2</v>
      </c>
    </row>
    <row r="214" spans="1:7" x14ac:dyDescent="0.35">
      <c r="A214" t="s">
        <v>382</v>
      </c>
      <c r="B214">
        <v>68.2</v>
      </c>
      <c r="C214">
        <v>68.2</v>
      </c>
      <c r="D214" s="2">
        <v>0.2</v>
      </c>
      <c r="E214" s="3">
        <v>2.9999999999999997E-8</v>
      </c>
      <c r="F214">
        <v>46.58</v>
      </c>
      <c r="G214" t="str">
        <f>HYPERLINK("https://www.ncbi.nlm.nih.gov/nucleotide/CP039884.1?report=genbank&amp;log$=nucltop&amp;blast_rank=6&amp;RID=0FYUS1V0016","CP039884.1")</f>
        <v>CP039884.1</v>
      </c>
    </row>
    <row r="215" spans="1:7" x14ac:dyDescent="0.35">
      <c r="A215" t="s">
        <v>383</v>
      </c>
      <c r="B215">
        <v>68.2</v>
      </c>
      <c r="C215">
        <v>68.2</v>
      </c>
      <c r="D215" s="2">
        <v>0.2</v>
      </c>
      <c r="E215" s="3">
        <v>2.9999999999999997E-8</v>
      </c>
      <c r="F215">
        <v>46.58</v>
      </c>
      <c r="G215" t="str">
        <f>HYPERLINK("https://www.ncbi.nlm.nih.gov/nucleotide/CP015481.1?report=genbank&amp;log$=nucltop&amp;blast_rank=7&amp;RID=0FYUS1V0016","CP015481.1")</f>
        <v>CP015481.1</v>
      </c>
    </row>
    <row r="216" spans="1:7" x14ac:dyDescent="0.35">
      <c r="A216" t="s">
        <v>495</v>
      </c>
      <c r="B216">
        <v>66.599999999999994</v>
      </c>
      <c r="C216">
        <v>66.599999999999994</v>
      </c>
      <c r="D216" s="2">
        <v>0.22</v>
      </c>
      <c r="E216" s="3">
        <v>2E-8</v>
      </c>
      <c r="F216">
        <v>46.25</v>
      </c>
      <c r="G216" t="str">
        <f>HYPERLINK("https://www.ncbi.nlm.nih.gov/nucleotide/XM_768845.1?report=genbank&amp;log$=nucltop&amp;blast_rank=8&amp;RID=0FYUS1V0016","XM_768845.1")</f>
        <v>XM_768845.1</v>
      </c>
    </row>
    <row r="217" spans="1:7" x14ac:dyDescent="0.35">
      <c r="A217" s="4" t="s">
        <v>496</v>
      </c>
      <c r="B217" s="4">
        <v>66.599999999999994</v>
      </c>
      <c r="C217" s="4">
        <v>66.599999999999994</v>
      </c>
      <c r="D217" s="5">
        <v>0.22</v>
      </c>
      <c r="E217" s="6">
        <v>2.9999999999999997E-8</v>
      </c>
      <c r="F217" s="4">
        <v>46.25</v>
      </c>
      <c r="G217" s="4" t="str">
        <f>HYPERLINK("https://www.ncbi.nlm.nih.gov/nucleotide/XM_024657893.1?report=genbank&amp;log$=nucltop&amp;blast_rank=9&amp;RID=0FYUS1V0016","XM_024657893.1")</f>
        <v>XM_024657893.1</v>
      </c>
    </row>
    <row r="218" spans="1:7" x14ac:dyDescent="0.35">
      <c r="A218" t="s">
        <v>499</v>
      </c>
      <c r="B218">
        <v>65.5</v>
      </c>
      <c r="C218">
        <v>65.5</v>
      </c>
      <c r="D218" s="2">
        <v>0.22</v>
      </c>
      <c r="E218" s="3">
        <v>8.9999999999999999E-8</v>
      </c>
      <c r="F218">
        <v>45</v>
      </c>
      <c r="G218" t="str">
        <f>HYPERLINK("https://www.ncbi.nlm.nih.gov/nucleotide/XM_012196313.1?report=genbank&amp;log$=nucltop&amp;blast_rank=10&amp;RID=0FYUS1V0016","XM_012196313.1")</f>
        <v>XM_012196313.1</v>
      </c>
    </row>
    <row r="219" spans="1:7" x14ac:dyDescent="0.35">
      <c r="A219" t="s">
        <v>497</v>
      </c>
      <c r="B219">
        <v>59.7</v>
      </c>
      <c r="C219">
        <v>59.7</v>
      </c>
      <c r="D219" s="2">
        <v>0.21</v>
      </c>
      <c r="E219" s="3">
        <v>3.9999999999999998E-6</v>
      </c>
      <c r="F219">
        <v>44.74</v>
      </c>
      <c r="G219" t="str">
        <f>HYPERLINK("https://www.ncbi.nlm.nih.gov/nucleotide/XM_003195720.1?report=genbank&amp;log$=nucltop&amp;blast_rank=11&amp;RID=0FYUS1V0016","XM_003195720.1")</f>
        <v>XM_003195720.1</v>
      </c>
    </row>
    <row r="220" spans="1:7" x14ac:dyDescent="0.35">
      <c r="A220" t="s">
        <v>527</v>
      </c>
      <c r="B220">
        <v>123</v>
      </c>
      <c r="C220">
        <v>123</v>
      </c>
      <c r="D220" s="2">
        <v>0.48</v>
      </c>
      <c r="E220" s="3">
        <v>3.0000000000000003E-29</v>
      </c>
      <c r="F220">
        <v>44.67</v>
      </c>
      <c r="G220" t="str">
        <f>HYPERLINK("https://www.ncbi.nlm.nih.gov/nucleotide/XM_037362815.1?report=genbank&amp;log$=nucltop&amp;blast_rank=12&amp;RID=0FYUS1V0016","XM_037362815.1")</f>
        <v>XM_037362815.1</v>
      </c>
    </row>
    <row r="221" spans="1:7" x14ac:dyDescent="0.35">
      <c r="A221" t="s">
        <v>516</v>
      </c>
      <c r="B221">
        <v>64.3</v>
      </c>
      <c r="C221">
        <v>64.3</v>
      </c>
      <c r="D221" s="2">
        <v>0.22</v>
      </c>
      <c r="E221" s="3">
        <v>9.9999999999999995E-8</v>
      </c>
      <c r="F221">
        <v>44.44</v>
      </c>
      <c r="G221" t="str">
        <f>HYPERLINK("https://www.ncbi.nlm.nih.gov/nucleotide/XM_007001803.1?report=genbank&amp;log$=nucltop&amp;blast_rank=13&amp;RID=0FYUS1V0016","XM_007001803.1")</f>
        <v>XM_007001803.1</v>
      </c>
    </row>
    <row r="222" spans="1:7" x14ac:dyDescent="0.35">
      <c r="A222" t="s">
        <v>500</v>
      </c>
      <c r="B222">
        <v>50.8</v>
      </c>
      <c r="C222">
        <v>50.8</v>
      </c>
      <c r="D222" s="2">
        <v>0.18</v>
      </c>
      <c r="E222">
        <v>1.0999999999999999E-2</v>
      </c>
      <c r="F222">
        <v>43.94</v>
      </c>
      <c r="G222" t="str">
        <f>HYPERLINK("https://www.ncbi.nlm.nih.gov/nucleotide/CP025766.1?report=genbank&amp;log$=nucltop&amp;blast_rank=14&amp;RID=0FYUS1V0016","CP025766.1")</f>
        <v>CP025766.1</v>
      </c>
    </row>
    <row r="223" spans="1:7" x14ac:dyDescent="0.35">
      <c r="A223" t="s">
        <v>501</v>
      </c>
      <c r="B223">
        <v>50.4</v>
      </c>
      <c r="C223">
        <v>50.4</v>
      </c>
      <c r="D223" s="2">
        <v>0.18</v>
      </c>
      <c r="E223">
        <v>1.4E-2</v>
      </c>
      <c r="F223">
        <v>43.94</v>
      </c>
      <c r="G223" t="str">
        <f>HYPERLINK("https://www.ncbi.nlm.nih.gov/nucleotide/AE017349.1?report=genbank&amp;log$=nucltop&amp;blast_rank=15&amp;RID=0FYUS1V0016","AE017349.1")</f>
        <v>AE017349.1</v>
      </c>
    </row>
    <row r="224" spans="1:7" x14ac:dyDescent="0.35">
      <c r="A224" t="s">
        <v>502</v>
      </c>
      <c r="B224">
        <v>49.7</v>
      </c>
      <c r="C224">
        <v>49.7</v>
      </c>
      <c r="D224" s="2">
        <v>0.18</v>
      </c>
      <c r="E224">
        <v>2.3E-2</v>
      </c>
      <c r="F224">
        <v>43.94</v>
      </c>
      <c r="G224" t="str">
        <f>HYPERLINK("https://www.ncbi.nlm.nih.gov/nucleotide/CP000293.1?report=genbank&amp;log$=nucltop&amp;blast_rank=16&amp;RID=0FYUS1V0016","CP000293.1")</f>
        <v>CP000293.1</v>
      </c>
    </row>
    <row r="225" spans="1:7" x14ac:dyDescent="0.35">
      <c r="A225" s="4" t="s">
        <v>504</v>
      </c>
      <c r="B225" s="4">
        <v>55.5</v>
      </c>
      <c r="C225" s="4">
        <v>55.5</v>
      </c>
      <c r="D225" s="5">
        <v>0.18</v>
      </c>
      <c r="E225" s="6">
        <v>1E-4</v>
      </c>
      <c r="F225" s="4">
        <v>43.75</v>
      </c>
      <c r="G225" s="4" t="str">
        <f>HYPERLINK("https://www.ncbi.nlm.nih.gov/nucleotide/XM_008098815.1?report=genbank&amp;log$=nucltop&amp;blast_rank=17&amp;RID=0FYUS1V0016","XM_008098815.1")</f>
        <v>XM_008098815.1</v>
      </c>
    </row>
    <row r="226" spans="1:7" x14ac:dyDescent="0.35">
      <c r="A226" s="4" t="s">
        <v>505</v>
      </c>
      <c r="B226" s="4">
        <v>54.7</v>
      </c>
      <c r="C226" s="4">
        <v>54.7</v>
      </c>
      <c r="D226" s="5">
        <v>0.18</v>
      </c>
      <c r="E226" s="6">
        <v>2.0000000000000001E-4</v>
      </c>
      <c r="F226" s="4">
        <v>43.75</v>
      </c>
      <c r="G226" s="4" t="str">
        <f>HYPERLINK("https://www.ncbi.nlm.nih.gov/nucleotide/XM_018307603.1?report=genbank&amp;log$=nucltop&amp;blast_rank=18&amp;RID=0FYUS1V0016","XM_018307603.1")</f>
        <v>XM_018307603.1</v>
      </c>
    </row>
    <row r="227" spans="1:7" x14ac:dyDescent="0.35">
      <c r="A227" s="4" t="s">
        <v>507</v>
      </c>
      <c r="B227" s="4">
        <v>54.3</v>
      </c>
      <c r="C227" s="4">
        <v>54.3</v>
      </c>
      <c r="D227" s="5">
        <v>0.18</v>
      </c>
      <c r="E227" s="6">
        <v>5.9999999999999995E-4</v>
      </c>
      <c r="F227" s="4">
        <v>43.75</v>
      </c>
      <c r="G227" s="4" t="str">
        <f>HYPERLINK("https://www.ncbi.nlm.nih.gov/nucleotide/XM_036723993.1?report=genbank&amp;log$=nucltop&amp;blast_rank=19&amp;RID=0FYUS1V0016","XM_036723993.1")</f>
        <v>XM_036723993.1</v>
      </c>
    </row>
    <row r="228" spans="1:7" x14ac:dyDescent="0.35">
      <c r="A228" t="s">
        <v>526</v>
      </c>
      <c r="B228">
        <v>55.1</v>
      </c>
      <c r="C228">
        <v>55.1</v>
      </c>
      <c r="D228" s="2">
        <v>0.19</v>
      </c>
      <c r="E228" s="3">
        <v>1E-4</v>
      </c>
      <c r="F228">
        <v>43.48</v>
      </c>
      <c r="G228" t="str">
        <f>HYPERLINK("https://www.ncbi.nlm.nih.gov/nucleotide/XM_019194061.1?report=genbank&amp;log$=nucltop&amp;blast_rank=20&amp;RID=0FYUS1V0016","XM_019194061.1")</f>
        <v>XM_019194061.1</v>
      </c>
    </row>
    <row r="229" spans="1:7" x14ac:dyDescent="0.35">
      <c r="A229" t="s">
        <v>531</v>
      </c>
      <c r="B229">
        <v>116</v>
      </c>
      <c r="C229">
        <v>116</v>
      </c>
      <c r="D229" s="2">
        <v>0.43</v>
      </c>
      <c r="E229" s="3">
        <v>1E-26</v>
      </c>
      <c r="F229">
        <v>43.02</v>
      </c>
      <c r="G229" t="str">
        <f>HYPERLINK("https://www.ncbi.nlm.nih.gov/nucleotide/XM_003026747.1?report=genbank&amp;log$=nucltop&amp;blast_rank=21&amp;RID=0FYUS1V0016","XM_003026747.1")</f>
        <v>XM_003026747.1</v>
      </c>
    </row>
    <row r="230" spans="1:7" x14ac:dyDescent="0.35">
      <c r="A230" t="s">
        <v>515</v>
      </c>
      <c r="B230">
        <v>62.4</v>
      </c>
      <c r="C230">
        <v>62.4</v>
      </c>
      <c r="D230" s="2">
        <v>0.22</v>
      </c>
      <c r="E230" s="3">
        <v>6.9999999999999997E-7</v>
      </c>
      <c r="F230">
        <v>42.5</v>
      </c>
      <c r="G230" t="str">
        <f>HYPERLINK("https://www.ncbi.nlm.nih.gov/nucleotide/XM_032005190.1?report=genbank&amp;log$=nucltop&amp;blast_rank=22&amp;RID=0FYUS1V0016","XM_032005190.1")</f>
        <v>XM_032005190.1</v>
      </c>
    </row>
    <row r="231" spans="1:7" x14ac:dyDescent="0.35">
      <c r="A231" t="s">
        <v>523</v>
      </c>
      <c r="B231">
        <v>53.5</v>
      </c>
      <c r="C231">
        <v>53.5</v>
      </c>
      <c r="D231" s="2">
        <v>0.18</v>
      </c>
      <c r="E231" s="3">
        <v>5.9999999999999995E-4</v>
      </c>
      <c r="F231">
        <v>42.19</v>
      </c>
      <c r="G231" t="str">
        <f>HYPERLINK("https://www.ncbi.nlm.nih.gov/nucleotide/XM_037318596.1?report=genbank&amp;log$=nucltop&amp;blast_rank=23&amp;RID=0FYUS1V0016","XM_037318596.1")</f>
        <v>XM_037318596.1</v>
      </c>
    </row>
    <row r="232" spans="1:7" x14ac:dyDescent="0.35">
      <c r="A232" t="s">
        <v>524</v>
      </c>
      <c r="B232">
        <v>53.5</v>
      </c>
      <c r="C232">
        <v>53.5</v>
      </c>
      <c r="D232" s="2">
        <v>0.18</v>
      </c>
      <c r="E232" s="3">
        <v>5.9999999999999995E-4</v>
      </c>
      <c r="F232">
        <v>42.19</v>
      </c>
      <c r="G232" t="str">
        <f>HYPERLINK("https://www.ncbi.nlm.nih.gov/nucleotide/XM_036634474.1?report=genbank&amp;log$=nucltop&amp;blast_rank=24&amp;RID=0FYUS1V0016","XM_036634474.1")</f>
        <v>XM_036634474.1</v>
      </c>
    </row>
    <row r="233" spans="1:7" x14ac:dyDescent="0.35">
      <c r="A233" t="s">
        <v>525</v>
      </c>
      <c r="B233">
        <v>53.1</v>
      </c>
      <c r="C233">
        <v>53.1</v>
      </c>
      <c r="D233" s="2">
        <v>0.18</v>
      </c>
      <c r="E233" s="3">
        <v>6.9999999999999999E-4</v>
      </c>
      <c r="F233">
        <v>42.19</v>
      </c>
      <c r="G233" t="str">
        <f>HYPERLINK("https://www.ncbi.nlm.nih.gov/nucleotide/XM_032021123.1?report=genbank&amp;log$=nucltop&amp;blast_rank=25&amp;RID=0FYUS1V0016","XM_032021123.1")</f>
        <v>XM_032021123.1</v>
      </c>
    </row>
    <row r="234" spans="1:7" x14ac:dyDescent="0.35">
      <c r="A234" s="4" t="s">
        <v>503</v>
      </c>
      <c r="B234" s="4">
        <v>57.4</v>
      </c>
      <c r="C234" s="4">
        <v>57.4</v>
      </c>
      <c r="D234" s="5">
        <v>0.2</v>
      </c>
      <c r="E234" s="6">
        <v>2.0000000000000002E-5</v>
      </c>
      <c r="F234" s="4">
        <v>41.89</v>
      </c>
      <c r="G234" s="4" t="str">
        <f>HYPERLINK("https://www.ncbi.nlm.nih.gov/nucleotide/XM_022613792.1?report=genbank&amp;log$=nucltop&amp;blast_rank=26&amp;RID=0FYUS1V0016","XM_022613792.1")</f>
        <v>XM_022613792.1</v>
      </c>
    </row>
    <row r="235" spans="1:7" x14ac:dyDescent="0.35">
      <c r="A235" t="s">
        <v>529</v>
      </c>
      <c r="B235">
        <v>62.4</v>
      </c>
      <c r="C235">
        <v>62.4</v>
      </c>
      <c r="D235" s="2">
        <v>0.22</v>
      </c>
      <c r="E235" s="3">
        <v>4.9999999999999998E-7</v>
      </c>
      <c r="F235">
        <v>41.25</v>
      </c>
      <c r="G235" t="str">
        <f>HYPERLINK("https://www.ncbi.nlm.nih.gov/nucleotide/XM_028618410.1?report=genbank&amp;log$=nucltop&amp;blast_rank=27&amp;RID=0FYUS1V0016","XM_028618410.1")</f>
        <v>XM_028618410.1</v>
      </c>
    </row>
    <row r="236" spans="1:7" x14ac:dyDescent="0.35">
      <c r="A236" t="s">
        <v>514</v>
      </c>
      <c r="B236">
        <v>56.2</v>
      </c>
      <c r="C236">
        <v>56.2</v>
      </c>
      <c r="D236" s="2">
        <v>0.2</v>
      </c>
      <c r="E236" s="3">
        <v>1E-4</v>
      </c>
      <c r="F236">
        <v>40.54</v>
      </c>
      <c r="G236" t="str">
        <f>HYPERLINK("https://www.ncbi.nlm.nih.gov/nucleotide/XM_035473314.1?report=genbank&amp;log$=nucltop&amp;blast_rank=28&amp;RID=0FYUS1V0016","XM_035473314.1")</f>
        <v>XM_035473314.1</v>
      </c>
    </row>
    <row r="237" spans="1:7" x14ac:dyDescent="0.35">
      <c r="A237" t="s">
        <v>528</v>
      </c>
      <c r="B237">
        <v>50.8</v>
      </c>
      <c r="C237">
        <v>50.8</v>
      </c>
      <c r="D237" s="2">
        <v>0.2</v>
      </c>
      <c r="E237">
        <v>6.0000000000000001E-3</v>
      </c>
      <c r="F237">
        <v>40.28</v>
      </c>
      <c r="G237" t="str">
        <f>HYPERLINK("https://www.ncbi.nlm.nih.gov/nucleotide/XM_018422622.1?report=genbank&amp;log$=nucltop&amp;blast_rank=29&amp;RID=0FYUS1V0016","XM_018422622.1")</f>
        <v>XM_018422622.1</v>
      </c>
    </row>
    <row r="238" spans="1:7" x14ac:dyDescent="0.35">
      <c r="A238" t="s">
        <v>109</v>
      </c>
      <c r="B238">
        <v>95.5</v>
      </c>
      <c r="C238">
        <v>95.5</v>
      </c>
      <c r="D238" s="2">
        <v>0.47</v>
      </c>
      <c r="E238" s="3">
        <v>2.0000000000000001E-18</v>
      </c>
      <c r="F238">
        <v>40</v>
      </c>
      <c r="G238" t="str">
        <f>HYPERLINK("https://www.ncbi.nlm.nih.gov/nucleotide/XM_007871865.1?report=genbank&amp;log$=nucltop&amp;blast_rank=30&amp;RID=0FYUS1V0016","XM_007871865.1")</f>
        <v>XM_007871865.1</v>
      </c>
    </row>
    <row r="239" spans="1:7" x14ac:dyDescent="0.35">
      <c r="A239" s="4" t="s">
        <v>542</v>
      </c>
      <c r="B239" s="4">
        <v>110</v>
      </c>
      <c r="C239" s="4">
        <v>110</v>
      </c>
      <c r="D239" s="5">
        <v>0.47</v>
      </c>
      <c r="E239" s="6">
        <v>9.9999999999999996E-24</v>
      </c>
      <c r="F239" s="4">
        <v>39.58</v>
      </c>
      <c r="G239" s="4" t="str">
        <f>HYPERLINK("https://www.ncbi.nlm.nih.gov/nucleotide/XM_001889471.1?report=genbank&amp;log$=nucltop&amp;blast_rank=31&amp;RID=0FYUS1V0016","XM_001889471.1")</f>
        <v>XM_001889471.1</v>
      </c>
    </row>
    <row r="240" spans="1:7" x14ac:dyDescent="0.35">
      <c r="A240" t="s">
        <v>519</v>
      </c>
      <c r="B240">
        <v>53.9</v>
      </c>
      <c r="C240">
        <v>53.9</v>
      </c>
      <c r="D240" s="2">
        <v>0.21</v>
      </c>
      <c r="E240" s="3">
        <v>6.9999999999999994E-5</v>
      </c>
      <c r="F240">
        <v>39.47</v>
      </c>
      <c r="G240" t="str">
        <f>HYPERLINK("https://www.ncbi.nlm.nih.gov/nucleotide/XM_029884616.1?report=genbank&amp;log$=nucltop&amp;blast_rank=32&amp;RID=0FYUS1V0016","XM_029884616.1")</f>
        <v>XM_029884616.1</v>
      </c>
    </row>
    <row r="241" spans="1:7" x14ac:dyDescent="0.35">
      <c r="A241" t="s">
        <v>543</v>
      </c>
      <c r="B241">
        <v>105</v>
      </c>
      <c r="C241">
        <v>105</v>
      </c>
      <c r="D241" s="2">
        <v>0.45</v>
      </c>
      <c r="E241" s="3">
        <v>1E-22</v>
      </c>
      <c r="F241">
        <v>39.44</v>
      </c>
      <c r="G241" t="str">
        <f>HYPERLINK("https://www.ncbi.nlm.nih.gov/nucleotide/XM_036771613.1?report=genbank&amp;log$=nucltop&amp;blast_rank=33&amp;RID=0FYUS1V0016","XM_036771613.1")</f>
        <v>XM_036771613.1</v>
      </c>
    </row>
    <row r="242" spans="1:7" x14ac:dyDescent="0.35">
      <c r="A242" t="s">
        <v>550</v>
      </c>
      <c r="B242">
        <v>107</v>
      </c>
      <c r="C242">
        <v>107</v>
      </c>
      <c r="D242" s="2">
        <v>0.47</v>
      </c>
      <c r="E242" s="3">
        <v>6.0000000000000001E-23</v>
      </c>
      <c r="F242">
        <v>39.409999999999997</v>
      </c>
      <c r="G242" t="str">
        <f>HYPERLINK("https://www.ncbi.nlm.nih.gov/nucleotide/XM_024488823.1?report=genbank&amp;log$=nucltop&amp;blast_rank=34&amp;RID=0FYUS1V0016","XM_024488823.1")</f>
        <v>XM_024488823.1</v>
      </c>
    </row>
    <row r="243" spans="1:7" x14ac:dyDescent="0.35">
      <c r="A243" s="4" t="s">
        <v>548</v>
      </c>
      <c r="B243" s="4">
        <v>92</v>
      </c>
      <c r="C243" s="4">
        <v>92</v>
      </c>
      <c r="D243" s="5">
        <v>0.48</v>
      </c>
      <c r="E243" s="6">
        <v>1.0000000000000001E-17</v>
      </c>
      <c r="F243" s="4">
        <v>39.409999999999997</v>
      </c>
      <c r="G243" s="4" t="str">
        <f>HYPERLINK("https://www.ncbi.nlm.nih.gov/nucleotide/LR724312.1?report=genbank&amp;log$=nucltop&amp;blast_rank=35&amp;RID=0FYUS1V0016","LR724312.1")</f>
        <v>LR724312.1</v>
      </c>
    </row>
    <row r="244" spans="1:7" x14ac:dyDescent="0.35">
      <c r="A244" t="s">
        <v>520</v>
      </c>
      <c r="B244">
        <v>51.6</v>
      </c>
      <c r="C244">
        <v>51.6</v>
      </c>
      <c r="D244" s="2">
        <v>0.18</v>
      </c>
      <c r="E244">
        <v>2E-3</v>
      </c>
      <c r="F244">
        <v>39.39</v>
      </c>
      <c r="G244" t="str">
        <f>HYPERLINK("https://www.ncbi.nlm.nih.gov/nucleotide/XM_009650122.1?report=genbank&amp;log$=nucltop&amp;blast_rank=36&amp;RID=0FYUS1V0016","XM_009650122.1")</f>
        <v>XM_009650122.1</v>
      </c>
    </row>
    <row r="245" spans="1:7" x14ac:dyDescent="0.35">
      <c r="A245" t="s">
        <v>521</v>
      </c>
      <c r="B245">
        <v>51.6</v>
      </c>
      <c r="C245">
        <v>51.6</v>
      </c>
      <c r="D245" s="2">
        <v>0.18</v>
      </c>
      <c r="E245">
        <v>3.0000000000000001E-3</v>
      </c>
      <c r="F245">
        <v>39.39</v>
      </c>
      <c r="G245" t="str">
        <f>HYPERLINK("https://www.ncbi.nlm.nih.gov/nucleotide/XM_028641600.1?report=genbank&amp;log$=nucltop&amp;blast_rank=37&amp;RID=0FYUS1V0016","XM_028641600.1")</f>
        <v>XM_028641600.1</v>
      </c>
    </row>
    <row r="246" spans="1:7" x14ac:dyDescent="0.35">
      <c r="A246" t="s">
        <v>522</v>
      </c>
      <c r="B246">
        <v>51.6</v>
      </c>
      <c r="C246">
        <v>51.6</v>
      </c>
      <c r="D246" s="2">
        <v>0.18</v>
      </c>
      <c r="E246">
        <v>3.0000000000000001E-3</v>
      </c>
      <c r="F246">
        <v>39.39</v>
      </c>
      <c r="G246" t="str">
        <f>HYPERLINK("https://www.ncbi.nlm.nih.gov/nucleotide/XM_003006008.1?report=genbank&amp;log$=nucltop&amp;blast_rank=38&amp;RID=0FYUS1V0016","XM_003006008.1")</f>
        <v>XM_003006008.1</v>
      </c>
    </row>
    <row r="247" spans="1:7" x14ac:dyDescent="0.35">
      <c r="A247" t="s">
        <v>250</v>
      </c>
      <c r="B247">
        <v>51.6</v>
      </c>
      <c r="C247">
        <v>51.6</v>
      </c>
      <c r="D247" s="2">
        <v>0.18</v>
      </c>
      <c r="E247">
        <v>5.0000000000000001E-3</v>
      </c>
      <c r="F247">
        <v>39.39</v>
      </c>
      <c r="G247" t="str">
        <f>HYPERLINK("https://www.ncbi.nlm.nih.gov/nucleotide/CP010980.1?report=genbank&amp;log$=nucltop&amp;blast_rank=39&amp;RID=0FYUS1V0016","CP010980.1")</f>
        <v>CP010980.1</v>
      </c>
    </row>
    <row r="248" spans="1:7" x14ac:dyDescent="0.35">
      <c r="A248" t="s">
        <v>251</v>
      </c>
      <c r="B248">
        <v>51.6</v>
      </c>
      <c r="C248">
        <v>51.6</v>
      </c>
      <c r="D248" s="2">
        <v>0.18</v>
      </c>
      <c r="E248">
        <v>5.0000000000000001E-3</v>
      </c>
      <c r="F248">
        <v>39.39</v>
      </c>
      <c r="G248" t="str">
        <f>HYPERLINK("https://www.ncbi.nlm.nih.gov/nucleotide/CP009075.1?report=genbank&amp;log$=nucltop&amp;blast_rank=40&amp;RID=0FYUS1V0016","CP009075.1")</f>
        <v>CP009075.1</v>
      </c>
    </row>
    <row r="249" spans="1:7" x14ac:dyDescent="0.35">
      <c r="A249" t="s">
        <v>533</v>
      </c>
      <c r="B249">
        <v>59.3</v>
      </c>
      <c r="C249">
        <v>59.3</v>
      </c>
      <c r="D249" s="2">
        <v>0.22</v>
      </c>
      <c r="E249" s="3">
        <v>6.9999999999999999E-6</v>
      </c>
      <c r="F249">
        <v>39.24</v>
      </c>
      <c r="G249" t="str">
        <f>HYPERLINK("https://www.ncbi.nlm.nih.gov/nucleotide/XM_031996610.1?report=genbank&amp;log$=nucltop&amp;blast_rank=41&amp;RID=0FYUS1V0016","XM_031996610.1")</f>
        <v>XM_031996610.1</v>
      </c>
    </row>
    <row r="250" spans="1:7" x14ac:dyDescent="0.35">
      <c r="A250" t="s">
        <v>532</v>
      </c>
      <c r="B250">
        <v>54.7</v>
      </c>
      <c r="C250">
        <v>54.7</v>
      </c>
      <c r="D250" s="2">
        <v>0.22</v>
      </c>
      <c r="E250" s="3">
        <v>2.0000000000000001E-4</v>
      </c>
      <c r="F250">
        <v>39.24</v>
      </c>
      <c r="G250" t="str">
        <f>HYPERLINK("https://www.ncbi.nlm.nih.gov/nucleotide/XM_031169085.1?report=genbank&amp;log$=nucltop&amp;blast_rank=42&amp;RID=0FYUS1V0016","XM_031169085.1")</f>
        <v>XM_031169085.1</v>
      </c>
    </row>
    <row r="251" spans="1:7" x14ac:dyDescent="0.35">
      <c r="A251" t="s">
        <v>498</v>
      </c>
      <c r="B251">
        <v>53.5</v>
      </c>
      <c r="C251">
        <v>53.5</v>
      </c>
      <c r="D251" s="2">
        <v>0.21</v>
      </c>
      <c r="E251" s="3">
        <v>1E-4</v>
      </c>
      <c r="F251">
        <v>38.96</v>
      </c>
      <c r="G251" t="str">
        <f>HYPERLINK("https://www.ncbi.nlm.nih.gov/nucleotide/XM_007413685.1?report=genbank&amp;log$=nucltop&amp;blast_rank=43&amp;RID=0FYUS1V0016","XM_007413685.1")</f>
        <v>XM_007413685.1</v>
      </c>
    </row>
    <row r="252" spans="1:7" x14ac:dyDescent="0.35">
      <c r="A252" t="s">
        <v>120</v>
      </c>
      <c r="B252">
        <v>110</v>
      </c>
      <c r="C252">
        <v>110</v>
      </c>
      <c r="D252" s="2">
        <v>0.53</v>
      </c>
      <c r="E252" s="3">
        <v>1.9999999999999998E-24</v>
      </c>
      <c r="F252">
        <v>38.909999999999997</v>
      </c>
      <c r="G252" t="str">
        <f>HYPERLINK("https://www.ncbi.nlm.nih.gov/nucleotide/XM_012328251.1?report=genbank&amp;log$=nucltop&amp;blast_rank=44&amp;RID=0FYUS1V0016","XM_012328251.1")</f>
        <v>XM_012328251.1</v>
      </c>
    </row>
    <row r="253" spans="1:7" x14ac:dyDescent="0.35">
      <c r="A253" t="s">
        <v>544</v>
      </c>
      <c r="B253">
        <v>97.8</v>
      </c>
      <c r="C253">
        <v>97.8</v>
      </c>
      <c r="D253" s="2">
        <v>0.45</v>
      </c>
      <c r="E253" s="3">
        <v>2.9999999999999999E-19</v>
      </c>
      <c r="F253">
        <v>38.89</v>
      </c>
      <c r="G253" t="str">
        <f>HYPERLINK("https://www.ncbi.nlm.nih.gov/nucleotide/XM_007387247.1?report=genbank&amp;log$=nucltop&amp;blast_rank=45&amp;RID=0FYUS1V0016","XM_007387247.1")</f>
        <v>XM_007387247.1</v>
      </c>
    </row>
    <row r="254" spans="1:7" x14ac:dyDescent="0.35">
      <c r="A254" t="s">
        <v>530</v>
      </c>
      <c r="B254">
        <v>55.1</v>
      </c>
      <c r="C254">
        <v>55.1</v>
      </c>
      <c r="D254" s="2">
        <v>0.27</v>
      </c>
      <c r="E254" s="3">
        <v>2.0000000000000001E-4</v>
      </c>
      <c r="F254">
        <v>38.380000000000003</v>
      </c>
      <c r="G254" t="str">
        <f>HYPERLINK("https://www.ncbi.nlm.nih.gov/nucleotide/XM_025504909.1?report=genbank&amp;log$=nucltop&amp;blast_rank=46&amp;RID=0FYUS1V0016","XM_025504909.1")</f>
        <v>XM_025504909.1</v>
      </c>
    </row>
    <row r="255" spans="1:7" x14ac:dyDescent="0.35">
      <c r="A255" t="s">
        <v>535</v>
      </c>
      <c r="B255">
        <v>54.7</v>
      </c>
      <c r="C255">
        <v>54.7</v>
      </c>
      <c r="D255" s="2">
        <v>0.2</v>
      </c>
      <c r="E255" s="3">
        <v>2.0000000000000001E-4</v>
      </c>
      <c r="F255">
        <v>38.36</v>
      </c>
      <c r="G255" t="str">
        <f>HYPERLINK("https://www.ncbi.nlm.nih.gov/nucleotide/XM_014690294.1?report=genbank&amp;log$=nucltop&amp;blast_rank=47&amp;RID=0FYUS1V0016","XM_014690294.1")</f>
        <v>XM_014690294.1</v>
      </c>
    </row>
    <row r="256" spans="1:7" x14ac:dyDescent="0.35">
      <c r="A256" t="s">
        <v>539</v>
      </c>
      <c r="B256">
        <v>53.1</v>
      </c>
      <c r="C256">
        <v>53.1</v>
      </c>
      <c r="D256" s="2">
        <v>0.2</v>
      </c>
      <c r="E256" s="3">
        <v>5.0000000000000001E-4</v>
      </c>
      <c r="F256">
        <v>38.36</v>
      </c>
      <c r="G256" t="str">
        <f>HYPERLINK("https://www.ncbi.nlm.nih.gov/nucleotide/XM_007820685.2?report=genbank&amp;log$=nucltop&amp;blast_rank=48&amp;RID=0FYUS1V0016","XM_007820685.2")</f>
        <v>XM_007820685.2</v>
      </c>
    </row>
    <row r="257" spans="1:7" x14ac:dyDescent="0.35">
      <c r="A257" t="s">
        <v>536</v>
      </c>
      <c r="B257">
        <v>54.3</v>
      </c>
      <c r="C257">
        <v>54.3</v>
      </c>
      <c r="D257" s="2">
        <v>0.2</v>
      </c>
      <c r="E257" s="3">
        <v>8.9999999999999998E-4</v>
      </c>
      <c r="F257">
        <v>38.36</v>
      </c>
      <c r="G257" t="str">
        <f>HYPERLINK("https://www.ncbi.nlm.nih.gov/nucleotide/CP058935.1?report=genbank&amp;log$=nucltop&amp;blast_rank=49&amp;RID=0FYUS1V0016","CP058935.1")</f>
        <v>CP058935.1</v>
      </c>
    </row>
    <row r="258" spans="1:7" x14ac:dyDescent="0.35">
      <c r="A258" t="s">
        <v>326</v>
      </c>
      <c r="B258">
        <v>49.7</v>
      </c>
      <c r="C258">
        <v>49.7</v>
      </c>
      <c r="D258" s="2">
        <v>0.2</v>
      </c>
      <c r="E258">
        <v>1.2E-2</v>
      </c>
      <c r="F258">
        <v>38.36</v>
      </c>
      <c r="G258" t="str">
        <f>HYPERLINK("https://www.ncbi.nlm.nih.gov/nucleotide/XM_014715723.1?report=genbank&amp;log$=nucltop&amp;blast_rank=50&amp;RID=0FYUS1V0016","XM_014715723.1")</f>
        <v>XM_014715723.1</v>
      </c>
    </row>
    <row r="259" spans="1:7" x14ac:dyDescent="0.35">
      <c r="A259" t="s">
        <v>540</v>
      </c>
      <c r="B259">
        <v>50.4</v>
      </c>
      <c r="C259">
        <v>50.4</v>
      </c>
      <c r="D259" s="2">
        <v>0.2</v>
      </c>
      <c r="E259">
        <v>1.4999999999999999E-2</v>
      </c>
      <c r="F259">
        <v>38.36</v>
      </c>
      <c r="G259" t="str">
        <f>HYPERLINK("https://www.ncbi.nlm.nih.gov/nucleotide/CP031388.1?report=genbank&amp;log$=nucltop&amp;blast_rank=51&amp;RID=0FYUS1V0016","CP031388.1")</f>
        <v>CP031388.1</v>
      </c>
    </row>
    <row r="260" spans="1:7" x14ac:dyDescent="0.35">
      <c r="A260" t="s">
        <v>549</v>
      </c>
      <c r="B260">
        <v>102</v>
      </c>
      <c r="C260">
        <v>102</v>
      </c>
      <c r="D260" s="2">
        <v>0.48</v>
      </c>
      <c r="E260" s="3">
        <v>1.9999999999999998E-21</v>
      </c>
      <c r="F260">
        <v>38.1</v>
      </c>
      <c r="G260" t="str">
        <f>HYPERLINK("https://www.ncbi.nlm.nih.gov/nucleotide/XM_007363302.1?report=genbank&amp;log$=nucltop&amp;blast_rank=52&amp;RID=0FYUS1V0016","XM_007363302.1")</f>
        <v>XM_007363302.1</v>
      </c>
    </row>
    <row r="261" spans="1:7" x14ac:dyDescent="0.35">
      <c r="A261" t="s">
        <v>534</v>
      </c>
      <c r="B261">
        <v>105</v>
      </c>
      <c r="C261">
        <v>105</v>
      </c>
      <c r="D261" s="2">
        <v>0.48</v>
      </c>
      <c r="E261" s="3">
        <v>2.0000000000000001E-22</v>
      </c>
      <c r="F261">
        <v>37.85</v>
      </c>
      <c r="G261" t="str">
        <f>HYPERLINK("https://www.ncbi.nlm.nih.gov/nucleotide/XM_006456006.1?report=genbank&amp;log$=nucltop&amp;blast_rank=53&amp;RID=0FYUS1V0016","XM_006456006.1")</f>
        <v>XM_006456006.1</v>
      </c>
    </row>
    <row r="262" spans="1:7" x14ac:dyDescent="0.35">
      <c r="A262" t="s">
        <v>204</v>
      </c>
      <c r="B262">
        <v>107</v>
      </c>
      <c r="C262">
        <v>107</v>
      </c>
      <c r="D262" s="2">
        <v>0.52</v>
      </c>
      <c r="E262" s="3">
        <v>7.9999999999999997E-23</v>
      </c>
      <c r="F262">
        <v>37.5</v>
      </c>
      <c r="G262" t="str">
        <f>HYPERLINK("https://www.ncbi.nlm.nih.gov/nucleotide/XM_008043238.1?report=genbank&amp;log$=nucltop&amp;blast_rank=54&amp;RID=0FYUS1V0016","XM_008043238.1")</f>
        <v>XM_008043238.1</v>
      </c>
    </row>
    <row r="263" spans="1:7" x14ac:dyDescent="0.35">
      <c r="A263" t="s">
        <v>545</v>
      </c>
      <c r="B263">
        <v>52.4</v>
      </c>
      <c r="C263">
        <v>52.4</v>
      </c>
      <c r="D263" s="2">
        <v>0.2</v>
      </c>
      <c r="E263" s="3">
        <v>8.0000000000000004E-4</v>
      </c>
      <c r="F263">
        <v>36.99</v>
      </c>
      <c r="G263" t="str">
        <f>HYPERLINK("https://www.ncbi.nlm.nih.gov/nucleotide/XM_007816901.1?report=genbank&amp;log$=nucltop&amp;blast_rank=55&amp;RID=0FYUS1V0016","XM_007816901.1")</f>
        <v>XM_007816901.1</v>
      </c>
    </row>
    <row r="264" spans="1:7" x14ac:dyDescent="0.35">
      <c r="A264" t="s">
        <v>745</v>
      </c>
      <c r="B264">
        <v>51.2</v>
      </c>
      <c r="C264">
        <v>51.2</v>
      </c>
      <c r="D264" s="2">
        <v>0.2</v>
      </c>
      <c r="E264">
        <v>4.0000000000000001E-3</v>
      </c>
      <c r="F264">
        <v>36.99</v>
      </c>
      <c r="G264" t="str">
        <f>HYPERLINK("https://www.ncbi.nlm.nih.gov/nucleotide/XM_028910910.1?report=genbank&amp;log$=nucltop&amp;blast_rank=56&amp;RID=0FYUS1V0016","XM_028910910.1")</f>
        <v>XM_028910910.1</v>
      </c>
    </row>
    <row r="265" spans="1:7" x14ac:dyDescent="0.35">
      <c r="A265" t="s">
        <v>537</v>
      </c>
      <c r="B265">
        <v>56.2</v>
      </c>
      <c r="C265">
        <v>56.2</v>
      </c>
      <c r="D265" s="2">
        <v>0.23</v>
      </c>
      <c r="E265" s="3">
        <v>6.0000000000000002E-5</v>
      </c>
      <c r="F265">
        <v>36.9</v>
      </c>
      <c r="G265" t="str">
        <f>HYPERLINK("https://www.ncbi.nlm.nih.gov/nucleotide/XM_003335641.1?report=genbank&amp;log$=nucltop&amp;blast_rank=57&amp;RID=0FYUS1V0016","XM_003335641.1")</f>
        <v>XM_003335641.1</v>
      </c>
    </row>
    <row r="266" spans="1:7" x14ac:dyDescent="0.35">
      <c r="A266" t="s">
        <v>538</v>
      </c>
      <c r="B266">
        <v>56.2</v>
      </c>
      <c r="C266">
        <v>56.2</v>
      </c>
      <c r="D266" s="2">
        <v>0.23</v>
      </c>
      <c r="E266" s="3">
        <v>9.0000000000000006E-5</v>
      </c>
      <c r="F266">
        <v>36.9</v>
      </c>
      <c r="G266" t="str">
        <f>HYPERLINK("https://www.ncbi.nlm.nih.gov/nucleotide/XM_003338747.2?report=genbank&amp;log$=nucltop&amp;blast_rank=58&amp;RID=0FYUS1V0016","XM_003338747.2")</f>
        <v>XM_003338747.2</v>
      </c>
    </row>
    <row r="267" spans="1:7" x14ac:dyDescent="0.35">
      <c r="A267" t="s">
        <v>541</v>
      </c>
      <c r="B267">
        <v>108</v>
      </c>
      <c r="C267">
        <v>108</v>
      </c>
      <c r="D267" s="2">
        <v>0.5</v>
      </c>
      <c r="E267" s="3">
        <v>9.9999999999999991E-22</v>
      </c>
      <c r="F267">
        <v>36.36</v>
      </c>
      <c r="G267" t="str">
        <f>HYPERLINK("https://www.ncbi.nlm.nih.gov/nucleotide/XM_007331837.1?report=genbank&amp;log$=nucltop&amp;blast_rank=59&amp;RID=0FYUS1V0016","XM_007331837.1")</f>
        <v>XM_007331837.1</v>
      </c>
    </row>
    <row r="268" spans="1:7" x14ac:dyDescent="0.35">
      <c r="A268" t="s">
        <v>553</v>
      </c>
      <c r="B268">
        <v>100</v>
      </c>
      <c r="C268">
        <v>100</v>
      </c>
      <c r="D268" s="2">
        <v>0.53</v>
      </c>
      <c r="E268" s="3">
        <v>1.9999999999999999E-20</v>
      </c>
      <c r="F268">
        <v>36.36</v>
      </c>
      <c r="G268" t="str">
        <f>HYPERLINK("https://www.ncbi.nlm.nih.gov/nucleotide/XM_027759404.1?report=genbank&amp;log$=nucltop&amp;blast_rank=60&amp;RID=0FYUS1V0016","XM_027759404.1")</f>
        <v>XM_027759404.1</v>
      </c>
    </row>
    <row r="269" spans="1:7" x14ac:dyDescent="0.35">
      <c r="A269" t="s">
        <v>555</v>
      </c>
      <c r="B269">
        <v>101</v>
      </c>
      <c r="C269">
        <v>101</v>
      </c>
      <c r="D269" s="2">
        <v>0.48</v>
      </c>
      <c r="E269" s="3">
        <v>4.9999999999999999E-20</v>
      </c>
      <c r="F269">
        <v>36.28</v>
      </c>
      <c r="G269" t="str">
        <f>HYPERLINK("https://www.ncbi.nlm.nih.gov/nucleotide/XM_009554598.1?report=genbank&amp;log$=nucltop&amp;blast_rank=61&amp;RID=0FYUS1V0016","XM_009554598.1")</f>
        <v>XM_009554598.1</v>
      </c>
    </row>
    <row r="270" spans="1:7" x14ac:dyDescent="0.35">
      <c r="A270" t="s">
        <v>552</v>
      </c>
      <c r="B270">
        <v>95.1</v>
      </c>
      <c r="C270">
        <v>95.1</v>
      </c>
      <c r="D270" s="2">
        <v>0.44</v>
      </c>
      <c r="E270" s="3">
        <v>5.9999999999999997E-18</v>
      </c>
      <c r="F270">
        <v>36.08</v>
      </c>
      <c r="G270" t="str">
        <f>HYPERLINK("https://www.ncbi.nlm.nih.gov/nucleotide/XM_007307010.1?report=genbank&amp;log$=nucltop&amp;blast_rank=62&amp;RID=0FYUS1V0016","XM_007307010.1")</f>
        <v>XM_007307010.1</v>
      </c>
    </row>
    <row r="271" spans="1:7" x14ac:dyDescent="0.35">
      <c r="A271" t="s">
        <v>558</v>
      </c>
      <c r="B271">
        <v>84</v>
      </c>
      <c r="C271">
        <v>84</v>
      </c>
      <c r="D271" s="2">
        <v>0.47</v>
      </c>
      <c r="E271" s="3">
        <v>1E-14</v>
      </c>
      <c r="F271">
        <v>35.47</v>
      </c>
      <c r="G271" t="str">
        <f>HYPERLINK("https://www.ncbi.nlm.nih.gov/nucleotide/XM_007261781.1?report=genbank&amp;log$=nucltop&amp;blast_rank=63&amp;RID=0FYUS1V0016","XM_007261781.1")</f>
        <v>XM_007261781.1</v>
      </c>
    </row>
    <row r="272" spans="1:7" x14ac:dyDescent="0.35">
      <c r="A272" t="s">
        <v>546</v>
      </c>
      <c r="B272">
        <v>60.1</v>
      </c>
      <c r="C272">
        <v>60.1</v>
      </c>
      <c r="D272" s="2">
        <v>0.23</v>
      </c>
      <c r="E272" s="3">
        <v>3.0000000000000001E-6</v>
      </c>
      <c r="F272">
        <v>35.29</v>
      </c>
      <c r="G272" t="str">
        <f>HYPERLINK("https://www.ncbi.nlm.nih.gov/nucleotide/XM_018878767.1?report=genbank&amp;log$=nucltop&amp;blast_rank=64&amp;RID=0FYUS1V0016","XM_018878767.1")</f>
        <v>XM_018878767.1</v>
      </c>
    </row>
    <row r="273" spans="1:7" x14ac:dyDescent="0.35">
      <c r="A273" t="s">
        <v>547</v>
      </c>
      <c r="B273">
        <v>60.1</v>
      </c>
      <c r="C273">
        <v>60.1</v>
      </c>
      <c r="D273" s="2">
        <v>0.23</v>
      </c>
      <c r="E273" s="3">
        <v>1.0000000000000001E-5</v>
      </c>
      <c r="F273">
        <v>35.29</v>
      </c>
      <c r="G273" t="str">
        <f>HYPERLINK("https://www.ncbi.nlm.nih.gov/nucleotide/CP014501.1?report=genbank&amp;log$=nucltop&amp;blast_rank=65&amp;RID=0FYUS1V0016","CP014501.1")</f>
        <v>CP014501.1</v>
      </c>
    </row>
    <row r="274" spans="1:7" x14ac:dyDescent="0.35">
      <c r="A274" t="s">
        <v>556</v>
      </c>
      <c r="B274">
        <v>104</v>
      </c>
      <c r="C274">
        <v>104</v>
      </c>
      <c r="D274" s="2">
        <v>0.47</v>
      </c>
      <c r="E274" s="3">
        <v>4.9999999999999997E-21</v>
      </c>
      <c r="F274">
        <v>35.14</v>
      </c>
      <c r="G274" t="str">
        <f>HYPERLINK("https://www.ncbi.nlm.nih.gov/nucleotide/XM_007323234.1?report=genbank&amp;log$=nucltop&amp;blast_rank=66&amp;RID=0FYUS1V0016","XM_007323234.1")</f>
        <v>XM_007323234.1</v>
      </c>
    </row>
    <row r="275" spans="1:7" x14ac:dyDescent="0.35">
      <c r="A275" t="s">
        <v>551</v>
      </c>
      <c r="B275">
        <v>49.3</v>
      </c>
      <c r="C275">
        <v>49.3</v>
      </c>
      <c r="D275" s="2">
        <v>0.21</v>
      </c>
      <c r="E275">
        <v>1.6E-2</v>
      </c>
      <c r="F275">
        <v>34.67</v>
      </c>
      <c r="G275" t="str">
        <f>HYPERLINK("https://www.ncbi.nlm.nih.gov/nucleotide/XM_019170232.1?report=genbank&amp;log$=nucltop&amp;blast_rank=67&amp;RID=0FYUS1V0016","XM_019170232.1")</f>
        <v>XM_019170232.1</v>
      </c>
    </row>
    <row r="276" spans="1:7" x14ac:dyDescent="0.35">
      <c r="A276" t="s">
        <v>557</v>
      </c>
      <c r="B276">
        <v>47.8</v>
      </c>
      <c r="C276">
        <v>47.8</v>
      </c>
      <c r="D276" s="2">
        <v>0.21</v>
      </c>
      <c r="E276">
        <v>3.1E-2</v>
      </c>
      <c r="F276">
        <v>32</v>
      </c>
      <c r="G276" t="str">
        <f>HYPERLINK("https://www.ncbi.nlm.nih.gov/nucleotide/XM_002676712.1?report=genbank&amp;log$=nucltop&amp;blast_rank=68&amp;RID=0FYUS1V0016","XM_002676712.1")</f>
        <v>XM_002676712.1</v>
      </c>
    </row>
    <row r="277" spans="1:7" x14ac:dyDescent="0.35">
      <c r="A277" t="s">
        <v>561</v>
      </c>
      <c r="B277">
        <v>80.5</v>
      </c>
      <c r="C277">
        <v>80.5</v>
      </c>
      <c r="D277" s="2">
        <v>0.48</v>
      </c>
      <c r="E277" s="3">
        <v>9.9999999999999998E-13</v>
      </c>
      <c r="F277">
        <v>31.78</v>
      </c>
      <c r="G277" t="str">
        <f>HYPERLINK("https://www.ncbi.nlm.nih.gov/nucleotide/XM_007397925.1?report=genbank&amp;log$=nucltop&amp;blast_rank=69&amp;RID=0FYUS1V0016","XM_007397925.1")</f>
        <v>XM_007397925.1</v>
      </c>
    </row>
    <row r="278" spans="1:7" x14ac:dyDescent="0.35">
      <c r="A278" t="s">
        <v>512</v>
      </c>
      <c r="B278">
        <v>49.3</v>
      </c>
      <c r="C278">
        <v>49.3</v>
      </c>
      <c r="D278" s="2">
        <v>0.34</v>
      </c>
      <c r="E278">
        <v>2.8000000000000001E-2</v>
      </c>
      <c r="F278">
        <v>31.45</v>
      </c>
      <c r="G278" t="str">
        <f>HYPERLINK("https://www.ncbi.nlm.nih.gov/nucleotide/CP025725.1?report=genbank&amp;log$=nucltop&amp;blast_rank=70&amp;RID=0FYUS1V0016","CP025725.1")</f>
        <v>CP025725.1</v>
      </c>
    </row>
    <row r="279" spans="1:7" x14ac:dyDescent="0.35">
      <c r="A279" t="s">
        <v>513</v>
      </c>
      <c r="B279">
        <v>49.3</v>
      </c>
      <c r="C279">
        <v>49.3</v>
      </c>
      <c r="D279" s="2">
        <v>0.34</v>
      </c>
      <c r="E279">
        <v>2.8000000000000001E-2</v>
      </c>
      <c r="F279">
        <v>31.45</v>
      </c>
      <c r="G279" t="str">
        <f>HYPERLINK("https://www.ncbi.nlm.nih.gov/nucleotide/CP048080.1?report=genbank&amp;log$=nucltop&amp;blast_rank=71&amp;RID=0FYUS1V0016","CP048080.1")</f>
        <v>CP048080.1</v>
      </c>
    </row>
    <row r="280" spans="1:7" x14ac:dyDescent="0.35">
      <c r="A280" t="s">
        <v>508</v>
      </c>
      <c r="B280">
        <v>48.9</v>
      </c>
      <c r="C280">
        <v>48.9</v>
      </c>
      <c r="D280" s="2">
        <v>0.34</v>
      </c>
      <c r="E280">
        <v>3.9E-2</v>
      </c>
      <c r="F280">
        <v>31.45</v>
      </c>
      <c r="G280" t="str">
        <f>HYPERLINK("https://www.ncbi.nlm.nih.gov/nucleotide/CP048095.1?report=genbank&amp;log$=nucltop&amp;blast_rank=72&amp;RID=0FYUS1V0016","CP048095.1")</f>
        <v>CP048095.1</v>
      </c>
    </row>
    <row r="281" spans="1:7" x14ac:dyDescent="0.35">
      <c r="A281" t="s">
        <v>509</v>
      </c>
      <c r="B281">
        <v>48.9</v>
      </c>
      <c r="C281">
        <v>48.9</v>
      </c>
      <c r="D281" s="2">
        <v>0.34</v>
      </c>
      <c r="E281">
        <v>3.9E-2</v>
      </c>
      <c r="F281">
        <v>31.45</v>
      </c>
      <c r="G281" t="str">
        <f>HYPERLINK("https://www.ncbi.nlm.nih.gov/nucleotide/CP047910.1?report=genbank&amp;log$=nucltop&amp;blast_rank=73&amp;RID=0FYUS1V0016","CP047910.1")</f>
        <v>CP047910.1</v>
      </c>
    </row>
    <row r="282" spans="1:7" x14ac:dyDescent="0.35">
      <c r="A282" t="s">
        <v>510</v>
      </c>
      <c r="B282">
        <v>48.9</v>
      </c>
      <c r="C282">
        <v>48.9</v>
      </c>
      <c r="D282" s="2">
        <v>0.34</v>
      </c>
      <c r="E282">
        <v>3.9E-2</v>
      </c>
      <c r="F282">
        <v>31.45</v>
      </c>
      <c r="G282" t="str">
        <f>HYPERLINK("https://www.ncbi.nlm.nih.gov/nucleotide/CP003828.1?report=genbank&amp;log$=nucltop&amp;blast_rank=74&amp;RID=0FYUS1V0016","CP003828.1")</f>
        <v>CP003828.1</v>
      </c>
    </row>
    <row r="283" spans="1:7" x14ac:dyDescent="0.35">
      <c r="A283" t="s">
        <v>511</v>
      </c>
      <c r="B283">
        <v>48.9</v>
      </c>
      <c r="C283">
        <v>48.9</v>
      </c>
      <c r="D283" s="2">
        <v>0.34</v>
      </c>
      <c r="E283">
        <v>3.9E-2</v>
      </c>
      <c r="F283">
        <v>31.45</v>
      </c>
      <c r="G283" t="str">
        <f>HYPERLINK("https://www.ncbi.nlm.nih.gov/nucleotide/CP022329.1?report=genbank&amp;log$=nucltop&amp;blast_rank=75&amp;RID=0FYUS1V0016","CP022329.1")</f>
        <v>CP022329.1</v>
      </c>
    </row>
    <row r="284" spans="1:7" x14ac:dyDescent="0.35">
      <c r="A284" t="s">
        <v>517</v>
      </c>
      <c r="B284">
        <v>49.7</v>
      </c>
      <c r="C284">
        <v>49.7</v>
      </c>
      <c r="D284" s="2">
        <v>0.27</v>
      </c>
      <c r="E284">
        <v>2.1999999999999999E-2</v>
      </c>
      <c r="F284">
        <v>31.25</v>
      </c>
      <c r="G284" t="str">
        <f>HYPERLINK("https://www.ncbi.nlm.nih.gov/nucleotide/LK023379.1?report=genbank&amp;log$=nucltop&amp;blast_rank=76&amp;RID=0FYUS1V0016","LK023379.1")</f>
        <v>LK023379.1</v>
      </c>
    </row>
    <row r="285" spans="1:7" x14ac:dyDescent="0.35">
      <c r="A285" t="s">
        <v>518</v>
      </c>
      <c r="B285">
        <v>49.7</v>
      </c>
      <c r="C285">
        <v>49.7</v>
      </c>
      <c r="D285" s="2">
        <v>0.27</v>
      </c>
      <c r="E285">
        <v>2.1999999999999999E-2</v>
      </c>
      <c r="F285">
        <v>31.25</v>
      </c>
      <c r="G285" t="str">
        <f>HYPERLINK("https://www.ncbi.nlm.nih.gov/nucleotide/CP031827.1?report=genbank&amp;log$=nucltop&amp;blast_rank=77&amp;RID=0FYUS1V0016","CP031827.1")</f>
        <v>CP031827.1</v>
      </c>
    </row>
    <row r="286" spans="1:7" x14ac:dyDescent="0.35">
      <c r="A286" t="s">
        <v>559</v>
      </c>
      <c r="B286">
        <v>70.900000000000006</v>
      </c>
      <c r="C286">
        <v>70.900000000000006</v>
      </c>
      <c r="D286" s="2">
        <v>0.43</v>
      </c>
      <c r="E286" s="3">
        <v>2.0000000000000001E-9</v>
      </c>
      <c r="F286">
        <v>30.9</v>
      </c>
      <c r="G286" t="str">
        <f>HYPERLINK("https://www.ncbi.nlm.nih.gov/nucleotide/XM_022025918.1?report=genbank&amp;log$=nucltop&amp;blast_rank=78&amp;RID=0FYUS1V0016","XM_022025918.1")</f>
        <v>XM_022025918.1</v>
      </c>
    </row>
    <row r="287" spans="1:7" x14ac:dyDescent="0.35">
      <c r="A287" s="4" t="s">
        <v>560</v>
      </c>
      <c r="B287" s="4">
        <v>52.8</v>
      </c>
      <c r="C287" s="4">
        <v>52.8</v>
      </c>
      <c r="D287" s="5">
        <v>0.43</v>
      </c>
      <c r="E287" s="6">
        <v>6.9999999999999999E-4</v>
      </c>
      <c r="F287" s="4">
        <v>29.02</v>
      </c>
      <c r="G287" s="4" t="str">
        <f>HYPERLINK("https://www.ncbi.nlm.nih.gov/nucleotide/XM_016417724.1?report=genbank&amp;log$=nucltop&amp;blast_rank=79&amp;RID=0FYUS1V0016","XM_016417724.1")</f>
        <v>XM_016417724.1</v>
      </c>
    </row>
    <row r="288" spans="1:7" x14ac:dyDescent="0.35">
      <c r="A288" s="1" t="s">
        <v>767</v>
      </c>
    </row>
    <row r="289" spans="1:7" x14ac:dyDescent="0.35">
      <c r="A289" s="1" t="s">
        <v>2</v>
      </c>
      <c r="B289" s="1" t="s">
        <v>3</v>
      </c>
      <c r="C289" s="1" t="s">
        <v>4</v>
      </c>
      <c r="D289" s="1" t="s">
        <v>5</v>
      </c>
      <c r="E289" s="1" t="s">
        <v>6</v>
      </c>
      <c r="F289" s="1" t="s">
        <v>7</v>
      </c>
      <c r="G289" s="1" t="s">
        <v>8</v>
      </c>
    </row>
    <row r="290" spans="1:7" x14ac:dyDescent="0.35">
      <c r="A290" t="s">
        <v>37</v>
      </c>
      <c r="B290">
        <v>884</v>
      </c>
      <c r="C290">
        <v>975</v>
      </c>
      <c r="D290" s="2">
        <v>0.99</v>
      </c>
      <c r="E290">
        <v>0</v>
      </c>
      <c r="F290">
        <v>87.55</v>
      </c>
      <c r="G290" t="str">
        <f>HYPERLINK("https://www.ncbi.nlm.nih.gov/nucleotide/LR732085.1?report=genbank&amp;log$=nucltop&amp;blast_rank=1&amp;RID=0FYWN7S8013","LR732085.1")</f>
        <v>LR732085.1</v>
      </c>
    </row>
    <row r="291" spans="1:7" x14ac:dyDescent="0.35">
      <c r="A291" t="s">
        <v>24</v>
      </c>
      <c r="B291">
        <v>394</v>
      </c>
      <c r="C291">
        <v>394</v>
      </c>
      <c r="D291" s="2">
        <v>0.73</v>
      </c>
      <c r="E291" s="3">
        <v>1.9999999999999999E-126</v>
      </c>
      <c r="F291">
        <v>49.08</v>
      </c>
      <c r="G291" t="str">
        <f>HYPERLINK("https://www.ncbi.nlm.nih.gov/nucleotide/XM_037359093.1?report=genbank&amp;log$=nucltop&amp;blast_rank=2&amp;RID=0FYWN7S8013","XM_037359093.1")</f>
        <v>XM_037359093.1</v>
      </c>
    </row>
    <row r="292" spans="1:7" x14ac:dyDescent="0.35">
      <c r="A292" t="s">
        <v>29</v>
      </c>
      <c r="B292">
        <v>395</v>
      </c>
      <c r="C292">
        <v>395</v>
      </c>
      <c r="D292" s="2">
        <v>0.75</v>
      </c>
      <c r="E292" s="3">
        <v>8.0000000000000002E-127</v>
      </c>
      <c r="F292">
        <v>47.77</v>
      </c>
      <c r="G292" t="str">
        <f>HYPERLINK("https://www.ncbi.nlm.nih.gov/nucleotide/XM_036779059.1?report=genbank&amp;log$=nucltop&amp;blast_rank=3&amp;RID=0FYWN7S8013","XM_036779059.1")</f>
        <v>XM_036779059.1</v>
      </c>
    </row>
    <row r="293" spans="1:7" x14ac:dyDescent="0.35">
      <c r="A293" t="s">
        <v>34</v>
      </c>
      <c r="B293">
        <v>411</v>
      </c>
      <c r="C293">
        <v>411</v>
      </c>
      <c r="D293" s="2">
        <v>0.81</v>
      </c>
      <c r="E293" s="3">
        <v>4.9999999999999999E-133</v>
      </c>
      <c r="F293">
        <v>47.51</v>
      </c>
      <c r="G293" t="str">
        <f>HYPERLINK("https://www.ncbi.nlm.nih.gov/nucleotide/XM_001836368.2?report=genbank&amp;log$=nucltop&amp;blast_rank=4&amp;RID=0FYWN7S8013","XM_001836368.2")</f>
        <v>XM_001836368.2</v>
      </c>
    </row>
    <row r="294" spans="1:7" x14ac:dyDescent="0.35">
      <c r="A294" t="s">
        <v>9</v>
      </c>
      <c r="B294">
        <v>146</v>
      </c>
      <c r="C294">
        <v>259</v>
      </c>
      <c r="D294" s="2">
        <v>0.52</v>
      </c>
      <c r="E294" s="3">
        <v>2E-52</v>
      </c>
      <c r="F294">
        <v>47.47</v>
      </c>
      <c r="G294" t="str">
        <f>HYPERLINK("https://www.ncbi.nlm.nih.gov/nucleotide/LR732079.1?report=genbank&amp;log$=nucltop&amp;blast_rank=5&amp;RID=0FYWN7S8013","LR732079.1")</f>
        <v>LR732079.1</v>
      </c>
    </row>
    <row r="295" spans="1:7" x14ac:dyDescent="0.35">
      <c r="A295" t="s">
        <v>21</v>
      </c>
      <c r="B295">
        <v>370</v>
      </c>
      <c r="C295">
        <v>370</v>
      </c>
      <c r="D295" s="2">
        <v>0.73</v>
      </c>
      <c r="E295" s="3">
        <v>2E-116</v>
      </c>
      <c r="F295">
        <v>46.42</v>
      </c>
      <c r="G295" t="str">
        <f>HYPERLINK("https://www.ncbi.nlm.nih.gov/nucleotide/XM_009546985.1?report=genbank&amp;log$=nucltop&amp;blast_rank=6&amp;RID=0FYWN7S8013","XM_009546985.1")</f>
        <v>XM_009546985.1</v>
      </c>
    </row>
    <row r="296" spans="1:7" x14ac:dyDescent="0.35">
      <c r="A296" t="s">
        <v>25</v>
      </c>
      <c r="B296">
        <v>375</v>
      </c>
      <c r="C296">
        <v>375</v>
      </c>
      <c r="D296" s="2">
        <v>0.75</v>
      </c>
      <c r="E296" s="3">
        <v>4.9999999999999999E-119</v>
      </c>
      <c r="F296">
        <v>45.54</v>
      </c>
      <c r="G296" t="str">
        <f>HYPERLINK("https://www.ncbi.nlm.nih.gov/nucleotide/XM_007330400.1?report=genbank&amp;log$=nucltop&amp;blast_rank=7&amp;RID=0FYWN7S8013","XM_007330400.1")</f>
        <v>XM_007330400.1</v>
      </c>
    </row>
    <row r="297" spans="1:7" x14ac:dyDescent="0.35">
      <c r="A297" t="s">
        <v>26</v>
      </c>
      <c r="B297">
        <v>374</v>
      </c>
      <c r="C297">
        <v>374</v>
      </c>
      <c r="D297" s="2">
        <v>0.75</v>
      </c>
      <c r="E297" s="3">
        <v>9.9999999999999999E-119</v>
      </c>
      <c r="F297">
        <v>45.31</v>
      </c>
      <c r="G297" t="str">
        <f>HYPERLINK("https://www.ncbi.nlm.nih.gov/nucleotide/XM_006459162.1?report=genbank&amp;log$=nucltop&amp;blast_rank=8&amp;RID=0FYWN7S8013","XM_006459162.1")</f>
        <v>XM_006459162.1</v>
      </c>
    </row>
    <row r="298" spans="1:7" x14ac:dyDescent="0.35">
      <c r="A298" t="s">
        <v>19</v>
      </c>
      <c r="B298">
        <v>387</v>
      </c>
      <c r="C298">
        <v>387</v>
      </c>
      <c r="D298" s="2">
        <v>0.81</v>
      </c>
      <c r="E298" s="3">
        <v>3.9999999999999997E-124</v>
      </c>
      <c r="F298">
        <v>44.98</v>
      </c>
      <c r="G298" t="str">
        <f>HYPERLINK("https://www.ncbi.nlm.nih.gov/nucleotide/XM_001880890.1?report=genbank&amp;log$=nucltop&amp;blast_rank=9&amp;RID=0FYWN7S8013","XM_001880890.1")</f>
        <v>XM_001880890.1</v>
      </c>
    </row>
    <row r="299" spans="1:7" x14ac:dyDescent="0.35">
      <c r="A299" t="s">
        <v>33</v>
      </c>
      <c r="B299">
        <v>377</v>
      </c>
      <c r="C299">
        <v>377</v>
      </c>
      <c r="D299" s="2">
        <v>0.81</v>
      </c>
      <c r="E299" s="3">
        <v>3.0000000000000002E-119</v>
      </c>
      <c r="F299">
        <v>44.11</v>
      </c>
      <c r="G299" t="str">
        <f>HYPERLINK("https://www.ncbi.nlm.nih.gov/nucleotide/XM_007300020.1?report=genbank&amp;log$=nucltop&amp;blast_rank=10&amp;RID=0FYWN7S8013","XM_007300020.1")</f>
        <v>XM_007300020.1</v>
      </c>
    </row>
    <row r="300" spans="1:7" x14ac:dyDescent="0.35">
      <c r="A300" t="s">
        <v>16</v>
      </c>
      <c r="B300">
        <v>207</v>
      </c>
      <c r="C300">
        <v>646</v>
      </c>
      <c r="D300" s="2">
        <v>0.73</v>
      </c>
      <c r="E300" s="3">
        <v>2.0000000000000001E-58</v>
      </c>
      <c r="F300">
        <v>40.26</v>
      </c>
      <c r="G300" t="str">
        <f>HYPERLINK("https://www.ncbi.nlm.nih.gov/nucleotide/CP039877.1?report=genbank&amp;log$=nucltop&amp;blast_rank=11&amp;RID=0FYWN7S8013","CP039877.1")</f>
        <v>CP039877.1</v>
      </c>
    </row>
    <row r="301" spans="1:7" x14ac:dyDescent="0.35">
      <c r="A301" t="s">
        <v>17</v>
      </c>
      <c r="B301">
        <v>207</v>
      </c>
      <c r="C301">
        <v>646</v>
      </c>
      <c r="D301" s="2">
        <v>0.73</v>
      </c>
      <c r="E301" s="3">
        <v>2.0000000000000001E-58</v>
      </c>
      <c r="F301">
        <v>40.26</v>
      </c>
      <c r="G301" t="str">
        <f>HYPERLINK("https://www.ncbi.nlm.nih.gov/nucleotide/CP015461.1?report=genbank&amp;log$=nucltop&amp;blast_rank=12&amp;RID=0FYWN7S8013","CP015461.1")</f>
        <v>CP015461.1</v>
      </c>
    </row>
    <row r="302" spans="1:7" x14ac:dyDescent="0.35">
      <c r="A302" t="s">
        <v>18</v>
      </c>
      <c r="B302">
        <v>207</v>
      </c>
      <c r="C302">
        <v>646</v>
      </c>
      <c r="D302" s="2">
        <v>0.73</v>
      </c>
      <c r="E302" s="3">
        <v>2.0000000000000001E-58</v>
      </c>
      <c r="F302">
        <v>40.26</v>
      </c>
      <c r="G302" t="str">
        <f>HYPERLINK("https://www.ncbi.nlm.nih.gov/nucleotide/CP015474.1?report=genbank&amp;log$=nucltop&amp;blast_rank=13&amp;RID=0FYWN7S8013","CP015474.1")</f>
        <v>CP015474.1</v>
      </c>
    </row>
    <row r="303" spans="1:7" x14ac:dyDescent="0.35">
      <c r="A303" t="s">
        <v>27</v>
      </c>
      <c r="B303">
        <v>145</v>
      </c>
      <c r="C303">
        <v>307</v>
      </c>
      <c r="D303" s="2">
        <v>0.77</v>
      </c>
      <c r="E303" s="3">
        <v>9.0000000000000003E-67</v>
      </c>
      <c r="F303">
        <v>38.79</v>
      </c>
      <c r="G303" t="str">
        <f>HYPERLINK("https://www.ncbi.nlm.nih.gov/nucleotide/CP031830.1?report=genbank&amp;log$=nucltop&amp;blast_rank=14&amp;RID=0FYWN7S8013","CP031830.1")</f>
        <v>CP031830.1</v>
      </c>
    </row>
    <row r="304" spans="1:7" x14ac:dyDescent="0.35">
      <c r="A304" t="s">
        <v>28</v>
      </c>
      <c r="B304">
        <v>145</v>
      </c>
      <c r="C304">
        <v>307</v>
      </c>
      <c r="D304" s="2">
        <v>0.77</v>
      </c>
      <c r="E304" s="3">
        <v>9.0000000000000003E-67</v>
      </c>
      <c r="F304">
        <v>38.79</v>
      </c>
      <c r="G304" t="str">
        <f>HYPERLINK("https://www.ncbi.nlm.nih.gov/nucleotide/LK023335.1?report=genbank&amp;log$=nucltop&amp;blast_rank=15&amp;RID=0FYWN7S8013","LK023335.1")</f>
        <v>LK023335.1</v>
      </c>
    </row>
    <row r="305" spans="1:7" x14ac:dyDescent="0.35">
      <c r="A305" t="s">
        <v>32</v>
      </c>
      <c r="B305">
        <v>313</v>
      </c>
      <c r="C305">
        <v>313</v>
      </c>
      <c r="D305" s="2">
        <v>0.81</v>
      </c>
      <c r="E305" s="3">
        <v>3.0000000000000001E-93</v>
      </c>
      <c r="F305">
        <v>38.479999999999997</v>
      </c>
      <c r="G305" t="str">
        <f>HYPERLINK("https://www.ncbi.nlm.nih.gov/nucleotide/XM_018429091.1?report=genbank&amp;log$=nucltop&amp;blast_rank=16&amp;RID=0FYWN7S8013","XM_018429091.1")</f>
        <v>XM_018429091.1</v>
      </c>
    </row>
    <row r="306" spans="1:7" x14ac:dyDescent="0.35">
      <c r="A306" s="4" t="s">
        <v>11</v>
      </c>
      <c r="B306" s="4">
        <v>304</v>
      </c>
      <c r="C306" s="4">
        <v>304</v>
      </c>
      <c r="D306" s="5">
        <v>0.81</v>
      </c>
      <c r="E306" s="6">
        <v>3.0000000000000002E-91</v>
      </c>
      <c r="F306" s="4">
        <v>38.119999999999997</v>
      </c>
      <c r="G306" s="4" t="str">
        <f>HYPERLINK("https://www.ncbi.nlm.nih.gov/nucleotide/AB551982.1?report=genbank&amp;log$=nucltop&amp;blast_rank=17&amp;RID=0FYWN7S8013","AB551982.1")</f>
        <v>AB551982.1</v>
      </c>
    </row>
    <row r="307" spans="1:7" x14ac:dyDescent="0.35">
      <c r="A307" t="s">
        <v>12</v>
      </c>
      <c r="B307">
        <v>273</v>
      </c>
      <c r="C307">
        <v>273</v>
      </c>
      <c r="D307" s="2">
        <v>0.74</v>
      </c>
      <c r="E307" s="3">
        <v>1.9999999999999999E-80</v>
      </c>
      <c r="F307">
        <v>37.840000000000003</v>
      </c>
      <c r="G307" t="str">
        <f>HYPERLINK("https://www.ncbi.nlm.nih.gov/nucleotide/XM_036779060.1?report=genbank&amp;log$=nucltop&amp;blast_rank=18&amp;RID=0FYWN7S8013","XM_036779060.1")</f>
        <v>XM_036779060.1</v>
      </c>
    </row>
    <row r="308" spans="1:7" x14ac:dyDescent="0.35">
      <c r="A308" t="s">
        <v>19</v>
      </c>
      <c r="B308">
        <v>286</v>
      </c>
      <c r="C308">
        <v>286</v>
      </c>
      <c r="D308" s="2">
        <v>0.75</v>
      </c>
      <c r="E308" s="3">
        <v>7.9999999999999998E-85</v>
      </c>
      <c r="F308">
        <v>37.58</v>
      </c>
      <c r="G308" t="str">
        <f>HYPERLINK("https://www.ncbi.nlm.nih.gov/nucleotide/XM_001880889.1?report=genbank&amp;log$=nucltop&amp;blast_rank=19&amp;RID=0FYWN7S8013","XM_001880889.1")</f>
        <v>XM_001880889.1</v>
      </c>
    </row>
    <row r="309" spans="1:7" x14ac:dyDescent="0.35">
      <c r="A309" t="s">
        <v>14</v>
      </c>
      <c r="B309">
        <v>286</v>
      </c>
      <c r="C309">
        <v>286</v>
      </c>
      <c r="D309" s="2">
        <v>0.8</v>
      </c>
      <c r="E309" s="3">
        <v>1E-84</v>
      </c>
      <c r="F309">
        <v>37.29</v>
      </c>
      <c r="G309" t="str">
        <f>HYPERLINK("https://www.ncbi.nlm.nih.gov/nucleotide/XM_007330301.1?report=genbank&amp;log$=nucltop&amp;blast_rank=20&amp;RID=0FYWN7S8013","XM_007330301.1")</f>
        <v>XM_007330301.1</v>
      </c>
    </row>
    <row r="310" spans="1:7" x14ac:dyDescent="0.35">
      <c r="A310" t="s">
        <v>15</v>
      </c>
      <c r="B310">
        <v>285</v>
      </c>
      <c r="C310">
        <v>285</v>
      </c>
      <c r="D310" s="2">
        <v>0.8</v>
      </c>
      <c r="E310" s="3">
        <v>5.0000000000000002E-84</v>
      </c>
      <c r="F310">
        <v>37.29</v>
      </c>
      <c r="G310" t="str">
        <f>HYPERLINK("https://www.ncbi.nlm.nih.gov/nucleotide/XM_006459161.1?report=genbank&amp;log$=nucltop&amp;blast_rank=21&amp;RID=0FYWN7S8013","XM_006459161.1")</f>
        <v>XM_006459161.1</v>
      </c>
    </row>
    <row r="311" spans="1:7" x14ac:dyDescent="0.35">
      <c r="A311" t="s">
        <v>21</v>
      </c>
      <c r="B311">
        <v>264</v>
      </c>
      <c r="C311">
        <v>264</v>
      </c>
      <c r="D311" s="2">
        <v>0.73</v>
      </c>
      <c r="E311" s="3">
        <v>7.9999999999999994E-76</v>
      </c>
      <c r="F311">
        <v>37.270000000000003</v>
      </c>
      <c r="G311" t="str">
        <f>HYPERLINK("https://www.ncbi.nlm.nih.gov/nucleotide/XM_009546986.1?report=genbank&amp;log$=nucltop&amp;blast_rank=22&amp;RID=0FYWN7S8013","XM_009546986.1")</f>
        <v>XM_009546986.1</v>
      </c>
    </row>
    <row r="312" spans="1:7" x14ac:dyDescent="0.35">
      <c r="A312" t="s">
        <v>22</v>
      </c>
      <c r="B312">
        <v>231</v>
      </c>
      <c r="C312">
        <v>231</v>
      </c>
      <c r="D312" s="2">
        <v>0.69</v>
      </c>
      <c r="E312" s="3">
        <v>3.9999999999999997E-65</v>
      </c>
      <c r="F312">
        <v>36.659999999999997</v>
      </c>
      <c r="G312" t="str">
        <f>HYPERLINK("https://www.ncbi.nlm.nih.gov/nucleotide/XM_001836369.2?report=genbank&amp;log$=nucltop&amp;blast_rank=23&amp;RID=0FYWN7S8013","XM_001836369.2")</f>
        <v>XM_001836369.2</v>
      </c>
    </row>
    <row r="313" spans="1:7" x14ac:dyDescent="0.35">
      <c r="A313" t="s">
        <v>39</v>
      </c>
      <c r="B313">
        <v>271</v>
      </c>
      <c r="C313">
        <v>271</v>
      </c>
      <c r="D313" s="2">
        <v>0.72</v>
      </c>
      <c r="E313" s="3">
        <v>8E-79</v>
      </c>
      <c r="F313">
        <v>36.56</v>
      </c>
      <c r="G313" t="str">
        <f>HYPERLINK("https://www.ncbi.nlm.nih.gov/nucleotide/XM_025316703.1?report=genbank&amp;log$=nucltop&amp;blast_rank=24&amp;RID=0FYWN7S8013","XM_025316703.1")</f>
        <v>XM_025316703.1</v>
      </c>
    </row>
    <row r="314" spans="1:7" x14ac:dyDescent="0.35">
      <c r="A314" t="s">
        <v>35</v>
      </c>
      <c r="B314">
        <v>296</v>
      </c>
      <c r="C314">
        <v>296</v>
      </c>
      <c r="D314" s="2">
        <v>0.82</v>
      </c>
      <c r="E314" s="3">
        <v>9.9999999999999993E-89</v>
      </c>
      <c r="F314">
        <v>36.159999999999997</v>
      </c>
      <c r="G314" t="str">
        <f>HYPERLINK("https://www.ncbi.nlm.nih.gov/nucleotide/XM_023610462.1?report=genbank&amp;log$=nucltop&amp;blast_rank=25&amp;RID=0FYWN7S8013","XM_023610462.1")</f>
        <v>XM_023610462.1</v>
      </c>
    </row>
    <row r="315" spans="1:7" x14ac:dyDescent="0.35">
      <c r="A315" t="s">
        <v>30</v>
      </c>
      <c r="B315">
        <v>138</v>
      </c>
      <c r="C315">
        <v>310</v>
      </c>
      <c r="D315" s="2">
        <v>0.7</v>
      </c>
      <c r="E315" s="3">
        <v>5.0000000000000003E-34</v>
      </c>
      <c r="F315">
        <v>35.44</v>
      </c>
      <c r="G315" t="str">
        <f>HYPERLINK("https://www.ncbi.nlm.nih.gov/nucleotide/CP031825.1?report=genbank&amp;log$=nucltop&amp;blast_rank=26&amp;RID=0FYWN7S8013","CP031825.1")</f>
        <v>CP031825.1</v>
      </c>
    </row>
    <row r="316" spans="1:7" x14ac:dyDescent="0.35">
      <c r="A316" t="s">
        <v>31</v>
      </c>
      <c r="B316">
        <v>138</v>
      </c>
      <c r="C316">
        <v>310</v>
      </c>
      <c r="D316" s="2">
        <v>0.7</v>
      </c>
      <c r="E316" s="3">
        <v>6E-34</v>
      </c>
      <c r="F316">
        <v>35.44</v>
      </c>
      <c r="G316" t="str">
        <f>HYPERLINK("https://www.ncbi.nlm.nih.gov/nucleotide/LK023313.1?report=genbank&amp;log$=nucltop&amp;blast_rank=27&amp;RID=0FYWN7S8013","LK023313.1")</f>
        <v>LK023313.1</v>
      </c>
    </row>
    <row r="317" spans="1:7" x14ac:dyDescent="0.35">
      <c r="A317" s="4" t="s">
        <v>41</v>
      </c>
      <c r="B317" s="4">
        <v>200</v>
      </c>
      <c r="C317" s="4">
        <v>200</v>
      </c>
      <c r="D317" s="5">
        <v>0.71</v>
      </c>
      <c r="E317" s="6">
        <v>4.0000000000000001E-53</v>
      </c>
      <c r="F317" s="4">
        <v>34.200000000000003</v>
      </c>
      <c r="G317" s="4" t="str">
        <f>HYPERLINK("https://www.ncbi.nlm.nih.gov/nucleotide/XM_032045412.1?report=genbank&amp;log$=nucltop&amp;blast_rank=28&amp;RID=0FYWN7S8013","XM_032045412.1")</f>
        <v>XM_032045412.1</v>
      </c>
    </row>
    <row r="318" spans="1:7" x14ac:dyDescent="0.35">
      <c r="A318" t="s">
        <v>13</v>
      </c>
      <c r="B318">
        <v>271</v>
      </c>
      <c r="C318">
        <v>271</v>
      </c>
      <c r="D318" s="2">
        <v>0.81</v>
      </c>
      <c r="E318" s="3">
        <v>8E-79</v>
      </c>
      <c r="F318">
        <v>33.9</v>
      </c>
      <c r="G318" t="str">
        <f>HYPERLINK("https://www.ncbi.nlm.nih.gov/nucleotide/XM_037359092.1?report=genbank&amp;log$=nucltop&amp;blast_rank=29&amp;RID=0FYWN7S8013","XM_037359092.1")</f>
        <v>XM_037359092.1</v>
      </c>
    </row>
    <row r="319" spans="1:7" x14ac:dyDescent="0.35">
      <c r="A319" t="s">
        <v>20</v>
      </c>
      <c r="B319">
        <v>139</v>
      </c>
      <c r="C319">
        <v>292</v>
      </c>
      <c r="D319" s="2">
        <v>0.73</v>
      </c>
      <c r="E319" s="3">
        <v>4.0000000000000002E-62</v>
      </c>
      <c r="F319">
        <v>33.22</v>
      </c>
      <c r="G319" t="str">
        <f>HYPERLINK("https://www.ncbi.nlm.nih.gov/nucleotide/KJ999702.1?report=genbank&amp;log$=nucltop&amp;blast_rank=30&amp;RID=0FYWN7S8013","KJ999702.1")</f>
        <v>KJ999702.1</v>
      </c>
    </row>
    <row r="320" spans="1:7" x14ac:dyDescent="0.35">
      <c r="A320" t="s">
        <v>61</v>
      </c>
      <c r="B320">
        <v>175</v>
      </c>
      <c r="C320">
        <v>175</v>
      </c>
      <c r="D320" s="2">
        <v>0.7</v>
      </c>
      <c r="E320" s="3">
        <v>5.0000000000000004E-44</v>
      </c>
      <c r="F320">
        <v>32.94</v>
      </c>
      <c r="G320" t="str">
        <f>HYPERLINK("https://www.ncbi.nlm.nih.gov/nucleotide/XM_024831712.1?report=genbank&amp;log$=nucltop&amp;blast_rank=31&amp;RID=0FYWN7S8013","XM_024831712.1")</f>
        <v>XM_024831712.1</v>
      </c>
    </row>
    <row r="321" spans="1:7" x14ac:dyDescent="0.35">
      <c r="A321" t="s">
        <v>23</v>
      </c>
      <c r="B321">
        <v>225</v>
      </c>
      <c r="C321">
        <v>225</v>
      </c>
      <c r="D321" s="2">
        <v>0.73</v>
      </c>
      <c r="E321" s="3">
        <v>9E-61</v>
      </c>
      <c r="F321">
        <v>32.83</v>
      </c>
      <c r="G321" t="str">
        <f>HYPERLINK("https://www.ncbi.nlm.nih.gov/nucleotide/XM_007300021.1?report=genbank&amp;log$=nucltop&amp;blast_rank=32&amp;RID=0FYWN7S8013","XM_007300021.1")</f>
        <v>XM_007300021.1</v>
      </c>
    </row>
    <row r="322" spans="1:7" x14ac:dyDescent="0.35">
      <c r="A322" t="s">
        <v>69</v>
      </c>
      <c r="B322">
        <v>199</v>
      </c>
      <c r="C322">
        <v>199</v>
      </c>
      <c r="D322" s="2">
        <v>0.71</v>
      </c>
      <c r="E322" s="3">
        <v>1E-52</v>
      </c>
      <c r="F322">
        <v>32.619999999999997</v>
      </c>
      <c r="G322" t="str">
        <f>HYPERLINK("https://www.ncbi.nlm.nih.gov/nucleotide/XM_001390712.2?report=genbank&amp;log$=nucltop&amp;blast_rank=33&amp;RID=0FYWN7S8013","XM_001390712.2")</f>
        <v>XM_001390712.2</v>
      </c>
    </row>
    <row r="323" spans="1:7" x14ac:dyDescent="0.35">
      <c r="A323" t="s">
        <v>51</v>
      </c>
      <c r="B323">
        <v>190</v>
      </c>
      <c r="C323">
        <v>190</v>
      </c>
      <c r="D323" s="2">
        <v>0.71</v>
      </c>
      <c r="E323" s="3">
        <v>3E-49</v>
      </c>
      <c r="F323">
        <v>32.549999999999997</v>
      </c>
      <c r="G323" t="str">
        <f>HYPERLINK("https://www.ncbi.nlm.nih.gov/nucleotide/XM_025528552.1?report=genbank&amp;log$=nucltop&amp;blast_rank=34&amp;RID=0FYWN7S8013","XM_025528552.1")</f>
        <v>XM_025528552.1</v>
      </c>
    </row>
    <row r="324" spans="1:7" x14ac:dyDescent="0.35">
      <c r="A324" s="4" t="s">
        <v>65</v>
      </c>
      <c r="B324" s="4">
        <v>195</v>
      </c>
      <c r="C324" s="4">
        <v>195</v>
      </c>
      <c r="D324" s="5">
        <v>0.71</v>
      </c>
      <c r="E324" s="6">
        <v>4E-51</v>
      </c>
      <c r="F324" s="4">
        <v>32.39</v>
      </c>
      <c r="G324" s="4" t="str">
        <f>HYPERLINK("https://www.ncbi.nlm.nih.gov/nucleotide/XM_026774556.1?report=genbank&amp;log$=nucltop&amp;blast_rank=35&amp;RID=0FYWN7S8013","XM_026774556.1")</f>
        <v>XM_026774556.1</v>
      </c>
    </row>
    <row r="325" spans="1:7" x14ac:dyDescent="0.35">
      <c r="A325" t="s">
        <v>490</v>
      </c>
      <c r="B325">
        <v>82</v>
      </c>
      <c r="C325">
        <v>316</v>
      </c>
      <c r="D325" s="2">
        <v>0.66</v>
      </c>
      <c r="E325" s="3">
        <v>9.9999999999999997E-29</v>
      </c>
      <c r="F325">
        <v>31.65</v>
      </c>
      <c r="G325" t="str">
        <f>HYPERLINK("https://www.ncbi.nlm.nih.gov/nucleotide/CP035528.1?report=genbank&amp;log$=nucltop&amp;blast_rank=36&amp;RID=0FYWN7S8013","CP035528.1")</f>
        <v>CP035528.1</v>
      </c>
    </row>
    <row r="326" spans="1:7" x14ac:dyDescent="0.35">
      <c r="A326" t="s">
        <v>53</v>
      </c>
      <c r="B326">
        <v>191</v>
      </c>
      <c r="C326">
        <v>191</v>
      </c>
      <c r="D326" s="2">
        <v>0.71</v>
      </c>
      <c r="E326" s="3">
        <v>1.9999999999999999E-49</v>
      </c>
      <c r="F326">
        <v>31.6</v>
      </c>
      <c r="G326" t="str">
        <f>HYPERLINK("https://www.ncbi.nlm.nih.gov/nucleotide/XM_025704096.1?report=genbank&amp;log$=nucltop&amp;blast_rank=37&amp;RID=0FYWN7S8013","XM_025704096.1")</f>
        <v>XM_025704096.1</v>
      </c>
    </row>
    <row r="327" spans="1:7" x14ac:dyDescent="0.35">
      <c r="A327" t="s">
        <v>52</v>
      </c>
      <c r="B327">
        <v>139</v>
      </c>
      <c r="C327">
        <v>139</v>
      </c>
      <c r="D327" s="2">
        <v>0.55000000000000004</v>
      </c>
      <c r="E327" s="3">
        <v>6.9999999999999997E-33</v>
      </c>
      <c r="F327">
        <v>31.29</v>
      </c>
      <c r="G327" t="str">
        <f>HYPERLINK("https://www.ncbi.nlm.nih.gov/nucleotide/XM_003857413.1?report=genbank&amp;log$=nucltop&amp;blast_rank=38&amp;RID=0FYWN7S8013","XM_003857413.1")</f>
        <v>XM_003857413.1</v>
      </c>
    </row>
    <row r="328" spans="1:7" x14ac:dyDescent="0.35">
      <c r="A328" t="s">
        <v>48</v>
      </c>
      <c r="B328">
        <v>169</v>
      </c>
      <c r="C328">
        <v>169</v>
      </c>
      <c r="D328" s="2">
        <v>0.69</v>
      </c>
      <c r="E328" s="3">
        <v>6.9999999999999999E-41</v>
      </c>
      <c r="F328">
        <v>30.89</v>
      </c>
      <c r="G328" t="str">
        <f>HYPERLINK("https://www.ncbi.nlm.nih.gov/nucleotide/XM_009499650.1?report=genbank&amp;log$=nucltop&amp;blast_rank=39&amp;RID=0FYWN7S8013","XM_009499650.1")</f>
        <v>XM_009499650.1</v>
      </c>
    </row>
    <row r="329" spans="1:7" x14ac:dyDescent="0.35">
      <c r="A329" t="s">
        <v>54</v>
      </c>
      <c r="B329">
        <v>154</v>
      </c>
      <c r="C329">
        <v>154</v>
      </c>
      <c r="D329" s="2">
        <v>0.63</v>
      </c>
      <c r="E329" s="3">
        <v>2E-35</v>
      </c>
      <c r="F329">
        <v>30.85</v>
      </c>
      <c r="G329" t="str">
        <f>HYPERLINK("https://www.ncbi.nlm.nih.gov/nucleotide/LT853692.1?report=genbank&amp;log$=nucltop&amp;blast_rank=40&amp;RID=0FYWN7S8013","LT853692.1")</f>
        <v>LT853692.1</v>
      </c>
    </row>
    <row r="330" spans="1:7" x14ac:dyDescent="0.35">
      <c r="A330" t="s">
        <v>44</v>
      </c>
      <c r="B330">
        <v>169</v>
      </c>
      <c r="C330">
        <v>169</v>
      </c>
      <c r="D330" s="2">
        <v>0.66</v>
      </c>
      <c r="E330" s="3">
        <v>1E-42</v>
      </c>
      <c r="F330">
        <v>30.77</v>
      </c>
      <c r="G330" t="str">
        <f>HYPERLINK("https://www.ncbi.nlm.nih.gov/nucleotide/XM_033572072.1?report=genbank&amp;log$=nucltop&amp;blast_rank=41&amp;RID=0FYWN7S8013","XM_033572072.1")</f>
        <v>XM_033572072.1</v>
      </c>
    </row>
    <row r="331" spans="1:7" x14ac:dyDescent="0.35">
      <c r="A331" t="s">
        <v>59</v>
      </c>
      <c r="B331">
        <v>152</v>
      </c>
      <c r="C331">
        <v>152</v>
      </c>
      <c r="D331" s="2">
        <v>0.63</v>
      </c>
      <c r="E331" s="3">
        <v>8.0000000000000001E-35</v>
      </c>
      <c r="F331">
        <v>30.59</v>
      </c>
      <c r="G331" t="str">
        <f>HYPERLINK("https://www.ncbi.nlm.nih.gov/nucleotide/LT882676.1?report=genbank&amp;log$=nucltop&amp;blast_rank=42&amp;RID=0FYWN7S8013","LT882676.1")</f>
        <v>LT882676.1</v>
      </c>
    </row>
    <row r="332" spans="1:7" x14ac:dyDescent="0.35">
      <c r="A332" t="s">
        <v>58</v>
      </c>
      <c r="B332">
        <v>152</v>
      </c>
      <c r="C332">
        <v>152</v>
      </c>
      <c r="D332" s="2">
        <v>0.63</v>
      </c>
      <c r="E332" s="3">
        <v>8.0000000000000001E-35</v>
      </c>
      <c r="F332">
        <v>30.59</v>
      </c>
      <c r="G332" t="str">
        <f>HYPERLINK("https://www.ncbi.nlm.nih.gov/nucleotide/LT854273.1?report=genbank&amp;log$=nucltop&amp;blast_rank=43&amp;RID=0FYWN7S8013","LT854273.1")</f>
        <v>LT854273.1</v>
      </c>
    </row>
    <row r="333" spans="1:7" x14ac:dyDescent="0.35">
      <c r="A333" t="s">
        <v>57</v>
      </c>
      <c r="B333">
        <v>152</v>
      </c>
      <c r="C333">
        <v>152</v>
      </c>
      <c r="D333" s="2">
        <v>0.63</v>
      </c>
      <c r="E333" s="3">
        <v>8.0000000000000001E-35</v>
      </c>
      <c r="F333">
        <v>30.59</v>
      </c>
      <c r="G333" t="str">
        <f>HYPERLINK("https://www.ncbi.nlm.nih.gov/nucleotide/LT854253.1?report=genbank&amp;log$=nucltop&amp;blast_rank=44&amp;RID=0FYWN7S8013","LT854253.1")</f>
        <v>LT854253.1</v>
      </c>
    </row>
    <row r="334" spans="1:7" x14ac:dyDescent="0.35">
      <c r="A334" t="s">
        <v>101</v>
      </c>
      <c r="B334">
        <v>159</v>
      </c>
      <c r="C334">
        <v>159</v>
      </c>
      <c r="D334" s="2">
        <v>0.69</v>
      </c>
      <c r="E334" s="3">
        <v>3.0000000000000003E-39</v>
      </c>
      <c r="F334">
        <v>30.51</v>
      </c>
      <c r="G334" t="str">
        <f>HYPERLINK("https://www.ncbi.nlm.nih.gov/nucleotide/XM_023596533.1?report=genbank&amp;log$=nucltop&amp;blast_rank=45&amp;RID=0FYWN7S8013","XM_023596533.1")</f>
        <v>XM_023596533.1</v>
      </c>
    </row>
    <row r="335" spans="1:7" x14ac:dyDescent="0.35">
      <c r="A335" s="4" t="s">
        <v>60</v>
      </c>
      <c r="B335" s="4">
        <v>177</v>
      </c>
      <c r="C335" s="4">
        <v>177</v>
      </c>
      <c r="D335" s="5">
        <v>0.71</v>
      </c>
      <c r="E335" s="6">
        <v>1.9999999999999999E-44</v>
      </c>
      <c r="F335" s="4">
        <v>30.47</v>
      </c>
      <c r="G335" s="4" t="str">
        <f>HYPERLINK("https://www.ncbi.nlm.nih.gov/nucleotide/XM_035498527.1?report=genbank&amp;log$=nucltop&amp;blast_rank=46&amp;RID=0FYWN7S8013","XM_035498527.1")</f>
        <v>XM_035498527.1</v>
      </c>
    </row>
    <row r="336" spans="1:7" x14ac:dyDescent="0.35">
      <c r="A336" t="s">
        <v>80</v>
      </c>
      <c r="B336">
        <v>181</v>
      </c>
      <c r="C336">
        <v>181</v>
      </c>
      <c r="D336" s="2">
        <v>0.71</v>
      </c>
      <c r="E336" s="3">
        <v>8.0000000000000002E-46</v>
      </c>
      <c r="F336">
        <v>30.25</v>
      </c>
      <c r="G336" t="str">
        <f>HYPERLINK("https://www.ncbi.nlm.nih.gov/nucleotide/XM_025662501.1?report=genbank&amp;log$=nucltop&amp;blast_rank=47&amp;RID=0FYWN7S8013","XM_025662501.1")</f>
        <v>XM_025662501.1</v>
      </c>
    </row>
    <row r="337" spans="1:7" x14ac:dyDescent="0.35">
      <c r="A337" t="s">
        <v>38</v>
      </c>
      <c r="B337">
        <v>124</v>
      </c>
      <c r="C337">
        <v>124</v>
      </c>
      <c r="D337" s="2">
        <v>0.53</v>
      </c>
      <c r="E337" s="3">
        <v>8.0000000000000003E-27</v>
      </c>
      <c r="F337">
        <v>30.23</v>
      </c>
      <c r="G337" t="str">
        <f>HYPERLINK("https://www.ncbi.nlm.nih.gov/nucleotide/XM_001221435.1?report=genbank&amp;log$=nucltop&amp;blast_rank=48&amp;RID=0FYWN7S8013","XM_001221435.1")</f>
        <v>XM_001221435.1</v>
      </c>
    </row>
    <row r="338" spans="1:7" x14ac:dyDescent="0.35">
      <c r="A338" t="s">
        <v>43</v>
      </c>
      <c r="B338">
        <v>183</v>
      </c>
      <c r="C338">
        <v>183</v>
      </c>
      <c r="D338" s="2">
        <v>0.75</v>
      </c>
      <c r="E338" s="3">
        <v>6.9999999999999996E-47</v>
      </c>
      <c r="F338">
        <v>30.09</v>
      </c>
      <c r="G338" t="str">
        <f>HYPERLINK("https://www.ncbi.nlm.nih.gov/nucleotide/XM_022549209.1?report=genbank&amp;log$=nucltop&amp;blast_rank=49&amp;RID=0FYWN7S8013","XM_022549209.1")</f>
        <v>XM_022549209.1</v>
      </c>
    </row>
    <row r="339" spans="1:7" x14ac:dyDescent="0.35">
      <c r="A339" t="s">
        <v>85</v>
      </c>
      <c r="B339">
        <v>188</v>
      </c>
      <c r="C339">
        <v>188</v>
      </c>
      <c r="D339" s="2">
        <v>0.72</v>
      </c>
      <c r="E339" s="3">
        <v>6E-49</v>
      </c>
      <c r="F339">
        <v>29.86</v>
      </c>
      <c r="G339" t="str">
        <f>HYPERLINK("https://www.ncbi.nlm.nih.gov/nucleotide/XM_002559523.1?report=genbank&amp;log$=nucltop&amp;blast_rank=50&amp;RID=0FYWN7S8013","XM_002559523.1")</f>
        <v>XM_002559523.1</v>
      </c>
    </row>
    <row r="340" spans="1:7" x14ac:dyDescent="0.35">
      <c r="A340" t="s">
        <v>76</v>
      </c>
      <c r="B340">
        <v>168</v>
      </c>
      <c r="C340">
        <v>168</v>
      </c>
      <c r="D340" s="2">
        <v>0.68</v>
      </c>
      <c r="E340" s="3">
        <v>2.9999999999999999E-41</v>
      </c>
      <c r="F340">
        <v>29.78</v>
      </c>
      <c r="G340" t="str">
        <f>HYPERLINK("https://www.ncbi.nlm.nih.gov/nucleotide/XM_026762387.1?report=genbank&amp;log$=nucltop&amp;blast_rank=51&amp;RID=0FYWN7S8013","XM_026762387.1")</f>
        <v>XM_026762387.1</v>
      </c>
    </row>
    <row r="341" spans="1:7" x14ac:dyDescent="0.35">
      <c r="A341" t="s">
        <v>36</v>
      </c>
      <c r="B341">
        <v>94.7</v>
      </c>
      <c r="C341">
        <v>189</v>
      </c>
      <c r="D341" s="2">
        <v>0.69</v>
      </c>
      <c r="E341" s="3">
        <v>1.0000000000000001E-37</v>
      </c>
      <c r="F341">
        <v>29.67</v>
      </c>
      <c r="G341" t="str">
        <f>HYPERLINK("https://www.ncbi.nlm.nih.gov/nucleotide/AM270105.1?report=genbank&amp;log$=nucltop&amp;blast_rank=52&amp;RID=0FYWN7S8013","AM270105.1")</f>
        <v>AM270105.1</v>
      </c>
    </row>
    <row r="342" spans="1:7" x14ac:dyDescent="0.35">
      <c r="A342" s="4" t="s">
        <v>66</v>
      </c>
      <c r="B342" s="4">
        <v>167</v>
      </c>
      <c r="C342" s="4">
        <v>167</v>
      </c>
      <c r="D342" s="5">
        <v>0.71</v>
      </c>
      <c r="E342" s="6">
        <v>2E-41</v>
      </c>
      <c r="F342" s="4">
        <v>29.51</v>
      </c>
      <c r="G342" s="4" t="str">
        <f>HYPERLINK("https://www.ncbi.nlm.nih.gov/nucleotide/XM_035498118.1?report=genbank&amp;log$=nucltop&amp;blast_rank=53&amp;RID=0FYWN7S8013","XM_035498118.1")</f>
        <v>XM_035498118.1</v>
      </c>
    </row>
    <row r="343" spans="1:7" x14ac:dyDescent="0.35">
      <c r="A343" t="s">
        <v>49</v>
      </c>
      <c r="B343">
        <v>151</v>
      </c>
      <c r="C343">
        <v>151</v>
      </c>
      <c r="D343" s="2">
        <v>0.75</v>
      </c>
      <c r="E343" s="3">
        <v>2E-35</v>
      </c>
      <c r="F343">
        <v>29.25</v>
      </c>
      <c r="G343" t="str">
        <f>HYPERLINK("https://www.ncbi.nlm.nih.gov/nucleotide/XM_001217916.1?report=genbank&amp;log$=nucltop&amp;blast_rank=54&amp;RID=0FYWN7S8013","XM_001217916.1")</f>
        <v>XM_001217916.1</v>
      </c>
    </row>
    <row r="344" spans="1:7" x14ac:dyDescent="0.35">
      <c r="A344" s="4" t="s">
        <v>50</v>
      </c>
      <c r="B344" s="4">
        <v>178</v>
      </c>
      <c r="C344" s="4">
        <v>178</v>
      </c>
      <c r="D344" s="5">
        <v>0.72</v>
      </c>
      <c r="E344" s="6">
        <v>3.9999999999999999E-45</v>
      </c>
      <c r="F344" s="4">
        <v>29.18</v>
      </c>
      <c r="G344" s="4" t="str">
        <f>HYPERLINK("https://www.ncbi.nlm.nih.gov/nucleotide/XM_032058508.1?report=genbank&amp;log$=nucltop&amp;blast_rank=55&amp;RID=0FYWN7S8013","XM_032058508.1")</f>
        <v>XM_032058508.1</v>
      </c>
    </row>
    <row r="345" spans="1:7" x14ac:dyDescent="0.35">
      <c r="A345" t="s">
        <v>56</v>
      </c>
      <c r="B345">
        <v>193</v>
      </c>
      <c r="C345">
        <v>193</v>
      </c>
      <c r="D345" s="2">
        <v>0.79</v>
      </c>
      <c r="E345" s="3">
        <v>3E-51</v>
      </c>
      <c r="F345">
        <v>29.09</v>
      </c>
      <c r="G345" t="str">
        <f>HYPERLINK("https://www.ncbi.nlm.nih.gov/nucleotide/XM_024844676.1?report=genbank&amp;log$=nucltop&amp;blast_rank=56&amp;RID=0FYWN7S8013","XM_024844676.1")</f>
        <v>XM_024844676.1</v>
      </c>
    </row>
    <row r="346" spans="1:7" x14ac:dyDescent="0.35">
      <c r="A346" t="s">
        <v>98</v>
      </c>
      <c r="B346">
        <v>142</v>
      </c>
      <c r="C346">
        <v>243</v>
      </c>
      <c r="D346" s="2">
        <v>0.74</v>
      </c>
      <c r="E346" s="3">
        <v>1.0000000000000001E-31</v>
      </c>
      <c r="F346">
        <v>29.05</v>
      </c>
      <c r="G346" t="str">
        <f>HYPERLINK("https://www.ncbi.nlm.nih.gov/nucleotide/XM_026749516.1?report=genbank&amp;log$=nucltop&amp;blast_rank=57&amp;RID=0FYWN7S8013","XM_026749516.1")</f>
        <v>XM_026749516.1</v>
      </c>
    </row>
    <row r="347" spans="1:7" x14ac:dyDescent="0.35">
      <c r="A347" t="s">
        <v>82</v>
      </c>
      <c r="B347">
        <v>144</v>
      </c>
      <c r="C347">
        <v>144</v>
      </c>
      <c r="D347" s="2">
        <v>0.63</v>
      </c>
      <c r="E347" s="3">
        <v>7.9999999999999994E-34</v>
      </c>
      <c r="F347">
        <v>28.95</v>
      </c>
      <c r="G347" t="str">
        <f>HYPERLINK("https://www.ncbi.nlm.nih.gov/nucleotide/XM_033601052.1?report=genbank&amp;log$=nucltop&amp;blast_rank=58&amp;RID=0FYWN7S8013","XM_033601052.1")</f>
        <v>XM_033601052.1</v>
      </c>
    </row>
    <row r="348" spans="1:7" x14ac:dyDescent="0.35">
      <c r="A348" t="s">
        <v>45</v>
      </c>
      <c r="B348">
        <v>187</v>
      </c>
      <c r="C348">
        <v>187</v>
      </c>
      <c r="D348" s="2">
        <v>0.75</v>
      </c>
      <c r="E348" s="3">
        <v>1.9999999999999999E-48</v>
      </c>
      <c r="F348">
        <v>28.77</v>
      </c>
      <c r="G348" t="str">
        <f>HYPERLINK("https://www.ncbi.nlm.nih.gov/nucleotide/XM_007926421.1?report=genbank&amp;log$=nucltop&amp;blast_rank=59&amp;RID=0FYWN7S8013","XM_007926421.1")</f>
        <v>XM_007926421.1</v>
      </c>
    </row>
    <row r="349" spans="1:7" x14ac:dyDescent="0.35">
      <c r="A349" t="s">
        <v>79</v>
      </c>
      <c r="B349">
        <v>171</v>
      </c>
      <c r="C349">
        <v>171</v>
      </c>
      <c r="D349" s="2">
        <v>0.67</v>
      </c>
      <c r="E349" s="3">
        <v>1E-42</v>
      </c>
      <c r="F349">
        <v>28.75</v>
      </c>
      <c r="G349" t="str">
        <f>HYPERLINK("https://www.ncbi.nlm.nih.gov/nucleotide/XM_033553550.1?report=genbank&amp;log$=nucltop&amp;blast_rank=60&amp;RID=0FYWN7S8013","XM_033553550.1")</f>
        <v>XM_033553550.1</v>
      </c>
    </row>
    <row r="350" spans="1:7" x14ac:dyDescent="0.35">
      <c r="A350" t="s">
        <v>68</v>
      </c>
      <c r="B350">
        <v>154</v>
      </c>
      <c r="C350">
        <v>154</v>
      </c>
      <c r="D350" s="2">
        <v>0.63</v>
      </c>
      <c r="E350" s="3">
        <v>1.0000000000000001E-37</v>
      </c>
      <c r="F350">
        <v>28.68</v>
      </c>
      <c r="G350" t="str">
        <f>HYPERLINK("https://www.ncbi.nlm.nih.gov/nucleotide/XM_001262908.1?report=genbank&amp;log$=nucltop&amp;blast_rank=61&amp;RID=0FYWN7S8013","XM_001262908.1")</f>
        <v>XM_001262908.1</v>
      </c>
    </row>
    <row r="351" spans="1:7" x14ac:dyDescent="0.35">
      <c r="A351" t="s">
        <v>69</v>
      </c>
      <c r="B351">
        <v>158</v>
      </c>
      <c r="C351">
        <v>158</v>
      </c>
      <c r="D351" s="2">
        <v>0.71</v>
      </c>
      <c r="E351" s="3">
        <v>3.9999999999999998E-38</v>
      </c>
      <c r="F351">
        <v>28.64</v>
      </c>
      <c r="G351" t="str">
        <f>HYPERLINK("https://www.ncbi.nlm.nih.gov/nucleotide/XM_001401884.2?report=genbank&amp;log$=nucltop&amp;blast_rank=62&amp;RID=0FYWN7S8013","XM_001401884.2")</f>
        <v>XM_001401884.2</v>
      </c>
    </row>
    <row r="352" spans="1:7" x14ac:dyDescent="0.35">
      <c r="A352" t="s">
        <v>72</v>
      </c>
      <c r="B352">
        <v>157</v>
      </c>
      <c r="C352">
        <v>157</v>
      </c>
      <c r="D352" s="2">
        <v>0.71</v>
      </c>
      <c r="E352" s="3">
        <v>2.0000000000000001E-37</v>
      </c>
      <c r="F352">
        <v>28.64</v>
      </c>
      <c r="G352" t="str">
        <f>HYPERLINK("https://www.ncbi.nlm.nih.gov/nucleotide/XM_025601684.1?report=genbank&amp;log$=nucltop&amp;blast_rank=63&amp;RID=0FYWN7S8013","XM_025601684.1")</f>
        <v>XM_025601684.1</v>
      </c>
    </row>
    <row r="353" spans="1:7" x14ac:dyDescent="0.35">
      <c r="A353" t="s">
        <v>42</v>
      </c>
      <c r="B353">
        <v>167</v>
      </c>
      <c r="C353">
        <v>167</v>
      </c>
      <c r="D353" s="2">
        <v>0.75</v>
      </c>
      <c r="E353" s="3">
        <v>4.9999999999999996E-41</v>
      </c>
      <c r="F353">
        <v>28.57</v>
      </c>
      <c r="G353" t="str">
        <f>HYPERLINK("https://www.ncbi.nlm.nih.gov/nucleotide/XM_015554209.1?report=genbank&amp;log$=nucltop&amp;blast_rank=64&amp;RID=0FYWN7S8013","XM_015554209.1")</f>
        <v>XM_015554209.1</v>
      </c>
    </row>
    <row r="354" spans="1:7" x14ac:dyDescent="0.35">
      <c r="A354" t="s">
        <v>90</v>
      </c>
      <c r="B354">
        <v>168</v>
      </c>
      <c r="C354">
        <v>168</v>
      </c>
      <c r="D354" s="2">
        <v>0.71</v>
      </c>
      <c r="E354" s="3">
        <v>4E-41</v>
      </c>
      <c r="F354">
        <v>28.54</v>
      </c>
      <c r="G354" t="str">
        <f>HYPERLINK("https://www.ncbi.nlm.nih.gov/nucleotide/XM_025683366.1?report=genbank&amp;log$=nucltop&amp;blast_rank=65&amp;RID=0FYWN7S8013","XM_025683366.1")</f>
        <v>XM_025683366.1</v>
      </c>
    </row>
    <row r="355" spans="1:7" x14ac:dyDescent="0.35">
      <c r="A355" s="4" t="s">
        <v>55</v>
      </c>
      <c r="B355" s="4">
        <v>173</v>
      </c>
      <c r="C355" s="4">
        <v>173</v>
      </c>
      <c r="D355" s="5">
        <v>0.72</v>
      </c>
      <c r="E355" s="6">
        <v>4.0000000000000003E-43</v>
      </c>
      <c r="F355" s="4">
        <v>28.34</v>
      </c>
      <c r="G355" s="4" t="str">
        <f>HYPERLINK("https://www.ncbi.nlm.nih.gov/nucleotide/XM_032074407.1?report=genbank&amp;log$=nucltop&amp;blast_rank=66&amp;RID=0FYWN7S8013","XM_032074407.1")</f>
        <v>XM_032074407.1</v>
      </c>
    </row>
    <row r="356" spans="1:7" x14ac:dyDescent="0.35">
      <c r="A356" t="s">
        <v>89</v>
      </c>
      <c r="B356">
        <v>147</v>
      </c>
      <c r="C356">
        <v>147</v>
      </c>
      <c r="D356" s="2">
        <v>0.68</v>
      </c>
      <c r="E356" s="3">
        <v>2.0000000000000001E-33</v>
      </c>
      <c r="F356">
        <v>28.12</v>
      </c>
      <c r="G356" t="str">
        <f>HYPERLINK("https://www.ncbi.nlm.nih.gov/nucleotide/XM_024828224.1?report=genbank&amp;log$=nucltop&amp;blast_rank=67&amp;RID=0FYWN7S8013","XM_024828224.1")</f>
        <v>XM_024828224.1</v>
      </c>
    </row>
    <row r="357" spans="1:7" x14ac:dyDescent="0.35">
      <c r="A357" t="s">
        <v>84</v>
      </c>
      <c r="B357">
        <v>164</v>
      </c>
      <c r="C357">
        <v>164</v>
      </c>
      <c r="D357" s="2">
        <v>0.71</v>
      </c>
      <c r="E357" s="3">
        <v>3.9999999999999997E-40</v>
      </c>
      <c r="F357">
        <v>28.07</v>
      </c>
      <c r="G357" t="str">
        <f>HYPERLINK("https://www.ncbi.nlm.nih.gov/nucleotide/XM_023599633.1?report=genbank&amp;log$=nucltop&amp;blast_rank=68&amp;RID=0FYWN7S8013","XM_023599633.1")</f>
        <v>XM_023599633.1</v>
      </c>
    </row>
    <row r="358" spans="1:7" x14ac:dyDescent="0.35">
      <c r="A358" t="s">
        <v>81</v>
      </c>
      <c r="B358">
        <v>131</v>
      </c>
      <c r="C358">
        <v>131</v>
      </c>
      <c r="D358" s="2">
        <v>0.68</v>
      </c>
      <c r="E358" s="3">
        <v>7.9999999999999995E-29</v>
      </c>
      <c r="F358">
        <v>28.01</v>
      </c>
      <c r="G358" t="str">
        <f>HYPERLINK("https://www.ncbi.nlm.nih.gov/nucleotide/XM_011327711.1?report=genbank&amp;log$=nucltop&amp;blast_rank=69&amp;RID=0FYWN7S8013","XM_011327711.1")</f>
        <v>XM_011327711.1</v>
      </c>
    </row>
    <row r="359" spans="1:7" x14ac:dyDescent="0.35">
      <c r="A359" t="s">
        <v>77</v>
      </c>
      <c r="B359">
        <v>140</v>
      </c>
      <c r="C359">
        <v>140</v>
      </c>
      <c r="D359" s="2">
        <v>0.67</v>
      </c>
      <c r="E359" s="3">
        <v>2.9999999999999998E-31</v>
      </c>
      <c r="F359">
        <v>28</v>
      </c>
      <c r="G359" t="str">
        <f>HYPERLINK("https://www.ncbi.nlm.nih.gov/nucleotide/XM_025680603.1?report=genbank&amp;log$=nucltop&amp;blast_rank=70&amp;RID=0FYWN7S8013","XM_025680603.1")</f>
        <v>XM_025680603.1</v>
      </c>
    </row>
    <row r="360" spans="1:7" x14ac:dyDescent="0.35">
      <c r="A360" t="s">
        <v>40</v>
      </c>
      <c r="B360">
        <v>177</v>
      </c>
      <c r="C360">
        <v>177</v>
      </c>
      <c r="D360" s="2">
        <v>0.77</v>
      </c>
      <c r="E360" s="3">
        <v>8.9999999999999997E-45</v>
      </c>
      <c r="F360">
        <v>27.94</v>
      </c>
      <c r="G360" t="str">
        <f>HYPERLINK("https://www.ncbi.nlm.nih.gov/nucleotide/XM_022531473.1?report=genbank&amp;log$=nucltop&amp;blast_rank=71&amp;RID=0FYWN7S8013","XM_022531473.1")</f>
        <v>XM_022531473.1</v>
      </c>
    </row>
    <row r="361" spans="1:7" x14ac:dyDescent="0.35">
      <c r="A361" t="s">
        <v>743</v>
      </c>
      <c r="B361">
        <v>128</v>
      </c>
      <c r="C361">
        <v>157</v>
      </c>
      <c r="D361" s="2">
        <v>0.69</v>
      </c>
      <c r="E361" s="3">
        <v>3E-28</v>
      </c>
      <c r="F361">
        <v>27.91</v>
      </c>
      <c r="G361" t="str">
        <f>HYPERLINK("https://www.ncbi.nlm.nih.gov/nucleotide/CP066504.1?report=genbank&amp;log$=nucltop&amp;blast_rank=72&amp;RID=0FYWN7S8013","CP066504.1")</f>
        <v>CP066504.1</v>
      </c>
    </row>
    <row r="362" spans="1:7" x14ac:dyDescent="0.35">
      <c r="A362" t="s">
        <v>474</v>
      </c>
      <c r="B362">
        <v>82</v>
      </c>
      <c r="C362">
        <v>162</v>
      </c>
      <c r="D362" s="2">
        <v>0.66</v>
      </c>
      <c r="E362" s="3">
        <v>1.9999999999999999E-29</v>
      </c>
      <c r="F362">
        <v>27.78</v>
      </c>
      <c r="G362" t="str">
        <f>HYPERLINK("https://www.ncbi.nlm.nih.gov/nucleotide/CP061806.1?report=genbank&amp;log$=nucltop&amp;blast_rank=73&amp;RID=0FYWN7S8013","CP061806.1")</f>
        <v>CP061806.1</v>
      </c>
    </row>
    <row r="363" spans="1:7" x14ac:dyDescent="0.35">
      <c r="A363" t="s">
        <v>475</v>
      </c>
      <c r="B363">
        <v>82</v>
      </c>
      <c r="C363">
        <v>162</v>
      </c>
      <c r="D363" s="2">
        <v>0.66</v>
      </c>
      <c r="E363" s="3">
        <v>1.9999999999999999E-29</v>
      </c>
      <c r="F363">
        <v>27.78</v>
      </c>
      <c r="G363" t="str">
        <f>HYPERLINK("https://www.ncbi.nlm.nih.gov/nucleotide/CP051037.1?report=genbank&amp;log$=nucltop&amp;blast_rank=74&amp;RID=0FYWN7S8013","CP051037.1")</f>
        <v>CP051037.1</v>
      </c>
    </row>
    <row r="364" spans="1:7" x14ac:dyDescent="0.35">
      <c r="A364" t="s">
        <v>476</v>
      </c>
      <c r="B364">
        <v>82</v>
      </c>
      <c r="C364">
        <v>162</v>
      </c>
      <c r="D364" s="2">
        <v>0.66</v>
      </c>
      <c r="E364" s="3">
        <v>1.9999999999999999E-29</v>
      </c>
      <c r="F364">
        <v>27.78</v>
      </c>
      <c r="G364" t="str">
        <f>HYPERLINK("https://www.ncbi.nlm.nih.gov/nucleotide/CP051029.1?report=genbank&amp;log$=nucltop&amp;blast_rank=75&amp;RID=0FYWN7S8013","CP051029.1")</f>
        <v>CP051029.1</v>
      </c>
    </row>
    <row r="365" spans="1:7" x14ac:dyDescent="0.35">
      <c r="A365" t="s">
        <v>477</v>
      </c>
      <c r="B365">
        <v>82</v>
      </c>
      <c r="C365">
        <v>162</v>
      </c>
      <c r="D365" s="2">
        <v>0.66</v>
      </c>
      <c r="E365" s="3">
        <v>1.9999999999999999E-29</v>
      </c>
      <c r="F365">
        <v>27.78</v>
      </c>
      <c r="G365" t="str">
        <f>HYPERLINK("https://www.ncbi.nlm.nih.gov/nucleotide/CP044620.1?report=genbank&amp;log$=nucltop&amp;blast_rank=76&amp;RID=0FYWN7S8013","CP044620.1")</f>
        <v>CP044620.1</v>
      </c>
    </row>
    <row r="366" spans="1:7" x14ac:dyDescent="0.35">
      <c r="A366" t="s">
        <v>478</v>
      </c>
      <c r="B366">
        <v>82</v>
      </c>
      <c r="C366">
        <v>162</v>
      </c>
      <c r="D366" s="2">
        <v>0.66</v>
      </c>
      <c r="E366" s="3">
        <v>1.9999999999999999E-29</v>
      </c>
      <c r="F366">
        <v>27.78</v>
      </c>
      <c r="G366" t="str">
        <f>HYPERLINK("https://www.ncbi.nlm.nih.gov/nucleotide/CP059868.1?report=genbank&amp;log$=nucltop&amp;blast_rank=77&amp;RID=0FYWN7S8013","CP059868.1")</f>
        <v>CP059868.1</v>
      </c>
    </row>
    <row r="367" spans="1:7" x14ac:dyDescent="0.35">
      <c r="A367" t="s">
        <v>479</v>
      </c>
      <c r="B367">
        <v>82</v>
      </c>
      <c r="C367">
        <v>162</v>
      </c>
      <c r="D367" s="2">
        <v>0.66</v>
      </c>
      <c r="E367" s="3">
        <v>1.9999999999999999E-29</v>
      </c>
      <c r="F367">
        <v>27.78</v>
      </c>
      <c r="G367" t="str">
        <f>HYPERLINK("https://www.ncbi.nlm.nih.gov/nucleotide/CP051053.1?report=genbank&amp;log$=nucltop&amp;blast_rank=78&amp;RID=0FYWN7S8013","CP051053.1")</f>
        <v>CP051053.1</v>
      </c>
    </row>
    <row r="368" spans="1:7" x14ac:dyDescent="0.35">
      <c r="A368" t="s">
        <v>480</v>
      </c>
      <c r="B368">
        <v>82</v>
      </c>
      <c r="C368">
        <v>162</v>
      </c>
      <c r="D368" s="2">
        <v>0.66</v>
      </c>
      <c r="E368" s="3">
        <v>1.9999999999999999E-29</v>
      </c>
      <c r="F368">
        <v>27.78</v>
      </c>
      <c r="G368" t="str">
        <f>HYPERLINK("https://www.ncbi.nlm.nih.gov/nucleotide/CP059860.1?report=genbank&amp;log$=nucltop&amp;blast_rank=79&amp;RID=0FYWN7S8013","CP059860.1")</f>
        <v>CP059860.1</v>
      </c>
    </row>
    <row r="369" spans="1:7" x14ac:dyDescent="0.35">
      <c r="A369" t="s">
        <v>481</v>
      </c>
      <c r="B369">
        <v>82</v>
      </c>
      <c r="C369">
        <v>162</v>
      </c>
      <c r="D369" s="2">
        <v>0.66</v>
      </c>
      <c r="E369" s="3">
        <v>1.9999999999999999E-29</v>
      </c>
      <c r="F369">
        <v>27.78</v>
      </c>
      <c r="G369" t="str">
        <f>HYPERLINK("https://www.ncbi.nlm.nih.gov/nucleotide/CP051045.1?report=genbank&amp;log$=nucltop&amp;blast_rank=80&amp;RID=0FYWN7S8013","CP051045.1")</f>
        <v>CP051045.1</v>
      </c>
    </row>
    <row r="370" spans="1:7" x14ac:dyDescent="0.35">
      <c r="A370" t="s">
        <v>482</v>
      </c>
      <c r="B370">
        <v>81.599999999999994</v>
      </c>
      <c r="C370">
        <v>161</v>
      </c>
      <c r="D370" s="2">
        <v>0.66</v>
      </c>
      <c r="E370" s="3">
        <v>1.9999999999999999E-29</v>
      </c>
      <c r="F370">
        <v>27.78</v>
      </c>
      <c r="G370" t="str">
        <f>HYPERLINK("https://www.ncbi.nlm.nih.gov/nucleotide/CP051069.1?report=genbank&amp;log$=nucltop&amp;blast_rank=81&amp;RID=0FYWN7S8013","CP051069.1")</f>
        <v>CP051069.1</v>
      </c>
    </row>
    <row r="371" spans="1:7" x14ac:dyDescent="0.35">
      <c r="A371" t="s">
        <v>483</v>
      </c>
      <c r="B371">
        <v>82</v>
      </c>
      <c r="C371">
        <v>161</v>
      </c>
      <c r="D371" s="2">
        <v>0.66</v>
      </c>
      <c r="E371" s="3">
        <v>1.9999999999999999E-29</v>
      </c>
      <c r="F371">
        <v>27.78</v>
      </c>
      <c r="G371" t="str">
        <f>HYPERLINK("https://www.ncbi.nlm.nih.gov/nucleotide/CP047251.1?report=genbank&amp;log$=nucltop&amp;blast_rank=82&amp;RID=0FYWN7S8013","CP047251.1")</f>
        <v>CP047251.1</v>
      </c>
    </row>
    <row r="372" spans="1:7" x14ac:dyDescent="0.35">
      <c r="A372" t="s">
        <v>484</v>
      </c>
      <c r="B372">
        <v>82</v>
      </c>
      <c r="C372">
        <v>161</v>
      </c>
      <c r="D372" s="2">
        <v>0.66</v>
      </c>
      <c r="E372" s="3">
        <v>1.9999999999999999E-29</v>
      </c>
      <c r="F372">
        <v>27.78</v>
      </c>
      <c r="G372" t="str">
        <f>HYPERLINK("https://www.ncbi.nlm.nih.gov/nucleotide/AP007157.1?report=genbank&amp;log$=nucltop&amp;blast_rank=83&amp;RID=0FYWN7S8013","AP007157.1")</f>
        <v>AP007157.1</v>
      </c>
    </row>
    <row r="373" spans="1:7" x14ac:dyDescent="0.35">
      <c r="A373" t="s">
        <v>485</v>
      </c>
      <c r="B373">
        <v>81.599999999999994</v>
      </c>
      <c r="C373">
        <v>161</v>
      </c>
      <c r="D373" s="2">
        <v>0.66</v>
      </c>
      <c r="E373" s="3">
        <v>1.9999999999999999E-29</v>
      </c>
      <c r="F373">
        <v>27.78</v>
      </c>
      <c r="G373" t="str">
        <f>HYPERLINK("https://www.ncbi.nlm.nih.gov/nucleotide/CP051085.1?report=genbank&amp;log$=nucltop&amp;blast_rank=84&amp;RID=0FYWN7S8013","CP051085.1")</f>
        <v>CP051085.1</v>
      </c>
    </row>
    <row r="374" spans="1:7" x14ac:dyDescent="0.35">
      <c r="A374" t="s">
        <v>486</v>
      </c>
      <c r="B374">
        <v>81.599999999999994</v>
      </c>
      <c r="C374">
        <v>161</v>
      </c>
      <c r="D374" s="2">
        <v>0.66</v>
      </c>
      <c r="E374" s="3">
        <v>1.9999999999999999E-29</v>
      </c>
      <c r="F374">
        <v>27.78</v>
      </c>
      <c r="G374" t="str">
        <f>HYPERLINK("https://www.ncbi.nlm.nih.gov/nucleotide/CP051061.1?report=genbank&amp;log$=nucltop&amp;blast_rank=85&amp;RID=0FYWN7S8013","CP051061.1")</f>
        <v>CP051061.1</v>
      </c>
    </row>
    <row r="375" spans="1:7" x14ac:dyDescent="0.35">
      <c r="A375" t="s">
        <v>487</v>
      </c>
      <c r="B375">
        <v>81.599999999999994</v>
      </c>
      <c r="C375">
        <v>161</v>
      </c>
      <c r="D375" s="2">
        <v>0.66</v>
      </c>
      <c r="E375" s="3">
        <v>1.9999999999999999E-29</v>
      </c>
      <c r="F375">
        <v>27.78</v>
      </c>
      <c r="G375" t="str">
        <f>HYPERLINK("https://www.ncbi.nlm.nih.gov/nucleotide/CP051093.1?report=genbank&amp;log$=nucltop&amp;blast_rank=86&amp;RID=0FYWN7S8013","CP051093.1")</f>
        <v>CP051093.1</v>
      </c>
    </row>
    <row r="376" spans="1:7" x14ac:dyDescent="0.35">
      <c r="A376" t="s">
        <v>488</v>
      </c>
      <c r="B376">
        <v>81.599999999999994</v>
      </c>
      <c r="C376">
        <v>161</v>
      </c>
      <c r="D376" s="2">
        <v>0.66</v>
      </c>
      <c r="E376" s="3">
        <v>1.9999999999999999E-29</v>
      </c>
      <c r="F376">
        <v>27.78</v>
      </c>
      <c r="G376" t="str">
        <f>HYPERLINK("https://www.ncbi.nlm.nih.gov/nucleotide/CP051021.1?report=genbank&amp;log$=nucltop&amp;blast_rank=87&amp;RID=0FYWN7S8013","CP051021.1")</f>
        <v>CP051021.1</v>
      </c>
    </row>
    <row r="377" spans="1:7" x14ac:dyDescent="0.35">
      <c r="A377" t="s">
        <v>489</v>
      </c>
      <c r="B377">
        <v>81.599999999999994</v>
      </c>
      <c r="C377">
        <v>161</v>
      </c>
      <c r="D377" s="2">
        <v>0.66</v>
      </c>
      <c r="E377" s="3">
        <v>3.0000000000000003E-29</v>
      </c>
      <c r="F377">
        <v>27.78</v>
      </c>
      <c r="G377" t="str">
        <f>HYPERLINK("https://www.ncbi.nlm.nih.gov/nucleotide/CP051077.1?report=genbank&amp;log$=nucltop&amp;blast_rank=88&amp;RID=0FYWN7S8013","CP051077.1")</f>
        <v>CP051077.1</v>
      </c>
    </row>
    <row r="378" spans="1:7" x14ac:dyDescent="0.35">
      <c r="A378" t="s">
        <v>105</v>
      </c>
      <c r="B378">
        <v>149</v>
      </c>
      <c r="C378">
        <v>149</v>
      </c>
      <c r="D378" s="2">
        <v>0.74</v>
      </c>
      <c r="E378" s="3">
        <v>9.0000000000000008E-34</v>
      </c>
      <c r="F378">
        <v>27.68</v>
      </c>
      <c r="G378" t="str">
        <f>HYPERLINK("https://www.ncbi.nlm.nih.gov/nucleotide/XM_033555780.1?report=genbank&amp;log$=nucltop&amp;blast_rank=89&amp;RID=0FYWN7S8013","XM_033555780.1")</f>
        <v>XM_033555780.1</v>
      </c>
    </row>
    <row r="379" spans="1:7" x14ac:dyDescent="0.35">
      <c r="A379" t="s">
        <v>78</v>
      </c>
      <c r="B379">
        <v>129</v>
      </c>
      <c r="C379">
        <v>129</v>
      </c>
      <c r="D379" s="2">
        <v>0.71</v>
      </c>
      <c r="E379" s="3">
        <v>9.9999999999999997E-29</v>
      </c>
      <c r="F379">
        <v>27.32</v>
      </c>
      <c r="G379" t="str">
        <f>HYPERLINK("https://www.ncbi.nlm.nih.gov/nucleotide/XM_001262909.1?report=genbank&amp;log$=nucltop&amp;blast_rank=90&amp;RID=0FYWN7S8013","XM_001262909.1")</f>
        <v>XM_001262909.1</v>
      </c>
    </row>
    <row r="380" spans="1:7" x14ac:dyDescent="0.35">
      <c r="A380" t="s">
        <v>97</v>
      </c>
      <c r="B380">
        <v>153</v>
      </c>
      <c r="C380">
        <v>153</v>
      </c>
      <c r="D380" s="2">
        <v>0.68</v>
      </c>
      <c r="E380" s="3">
        <v>6.0000000000000003E-36</v>
      </c>
      <c r="F380">
        <v>27.07</v>
      </c>
      <c r="G380" t="str">
        <f>HYPERLINK("https://www.ncbi.nlm.nih.gov/nucleotide/XM_035484606.1?report=genbank&amp;log$=nucltop&amp;blast_rank=91&amp;RID=0FYWN7S8013","XM_035484606.1")</f>
        <v>XM_035484606.1</v>
      </c>
    </row>
    <row r="381" spans="1:7" x14ac:dyDescent="0.35">
      <c r="A381" s="4" t="s">
        <v>47</v>
      </c>
      <c r="B381" s="4">
        <v>170</v>
      </c>
      <c r="C381" s="4">
        <v>170</v>
      </c>
      <c r="D381" s="5">
        <v>0.75</v>
      </c>
      <c r="E381" s="6">
        <v>4.0000000000000002E-42</v>
      </c>
      <c r="F381" s="4">
        <v>26.99</v>
      </c>
      <c r="G381" s="4" t="str">
        <f>HYPERLINK("https://www.ncbi.nlm.nih.gov/nucleotide/XM_032089869.1?report=genbank&amp;log$=nucltop&amp;blast_rank=92&amp;RID=0FYWN7S8013","XM_032089869.1")</f>
        <v>XM_032089869.1</v>
      </c>
    </row>
    <row r="382" spans="1:7" x14ac:dyDescent="0.35">
      <c r="A382" t="s">
        <v>71</v>
      </c>
      <c r="B382">
        <v>139</v>
      </c>
      <c r="C382">
        <v>139</v>
      </c>
      <c r="D382" s="2">
        <v>0.71</v>
      </c>
      <c r="E382" s="3">
        <v>5.9999999999999996E-31</v>
      </c>
      <c r="F382">
        <v>26.82</v>
      </c>
      <c r="G382" t="str">
        <f>HYPERLINK("https://www.ncbi.nlm.nih.gov/nucleotide/XM_025658697.1?report=genbank&amp;log$=nucltop&amp;blast_rank=93&amp;RID=0FYWN7S8013","XM_025658697.1")</f>
        <v>XM_025658697.1</v>
      </c>
    </row>
    <row r="383" spans="1:7" x14ac:dyDescent="0.35">
      <c r="A383" s="4" t="s">
        <v>87</v>
      </c>
      <c r="B383" s="4">
        <v>144</v>
      </c>
      <c r="C383" s="4">
        <v>144</v>
      </c>
      <c r="D383" s="5">
        <v>0.68</v>
      </c>
      <c r="E383" s="6">
        <v>2.0000000000000001E-32</v>
      </c>
      <c r="F383" s="4">
        <v>26.28</v>
      </c>
      <c r="G383" s="4" t="str">
        <f>HYPERLINK("https://www.ncbi.nlm.nih.gov/nucleotide/XM_007819030.2?report=genbank&amp;log$=nucltop&amp;blast_rank=94&amp;RID=0FYWN7S8013","XM_007819030.2")</f>
        <v>XM_007819030.2</v>
      </c>
    </row>
    <row r="384" spans="1:7" x14ac:dyDescent="0.35">
      <c r="A384" t="s">
        <v>64</v>
      </c>
      <c r="B384">
        <v>138</v>
      </c>
      <c r="C384">
        <v>138</v>
      </c>
      <c r="D384" s="2">
        <v>0.74</v>
      </c>
      <c r="E384" s="3">
        <v>2.0000000000000002E-30</v>
      </c>
      <c r="F384">
        <v>26.2</v>
      </c>
      <c r="G384" t="str">
        <f>HYPERLINK("https://www.ncbi.nlm.nih.gov/nucleotide/XM_025524425.1?report=genbank&amp;log$=nucltop&amp;blast_rank=95&amp;RID=0FYWN7S8013","XM_025524425.1")</f>
        <v>XM_025524425.1</v>
      </c>
    </row>
    <row r="385" spans="1:7" x14ac:dyDescent="0.35">
      <c r="A385" t="s">
        <v>86</v>
      </c>
      <c r="B385">
        <v>135</v>
      </c>
      <c r="C385">
        <v>172</v>
      </c>
      <c r="D385" s="2">
        <v>0.69</v>
      </c>
      <c r="E385" s="3">
        <v>2.0000000000000001E-32</v>
      </c>
      <c r="F385">
        <v>25.85</v>
      </c>
      <c r="G385" t="str">
        <f>HYPERLINK("https://www.ncbi.nlm.nih.gov/nucleotide/AM920428.1?report=genbank&amp;log$=nucltop&amp;blast_rank=96&amp;RID=0FYWN7S8013","AM920428.1")</f>
        <v>AM920428.1</v>
      </c>
    </row>
    <row r="386" spans="1:7" x14ac:dyDescent="0.35">
      <c r="A386" s="4" t="s">
        <v>99</v>
      </c>
      <c r="B386" s="4">
        <v>143</v>
      </c>
      <c r="C386" s="4">
        <v>143</v>
      </c>
      <c r="D386" s="5">
        <v>0.68</v>
      </c>
      <c r="E386" s="6">
        <v>6.0000000000000001E-32</v>
      </c>
      <c r="F386" s="4">
        <v>25.67</v>
      </c>
      <c r="G386" s="4" t="str">
        <f>HYPERLINK("https://www.ncbi.nlm.nih.gov/nucleotide/XM_014687487.1?report=genbank&amp;log$=nucltop&amp;blast_rank=97&amp;RID=0FYWN7S8013","XM_014687487.1")</f>
        <v>XM_014687487.1</v>
      </c>
    </row>
    <row r="387" spans="1:7" x14ac:dyDescent="0.35">
      <c r="A387" t="s">
        <v>102</v>
      </c>
      <c r="B387">
        <v>119</v>
      </c>
      <c r="C387">
        <v>150</v>
      </c>
      <c r="D387" s="2">
        <v>0.67</v>
      </c>
      <c r="E387" s="3">
        <v>3.0000000000000001E-26</v>
      </c>
      <c r="F387">
        <v>25.63</v>
      </c>
      <c r="G387" t="str">
        <f>HYPERLINK("https://www.ncbi.nlm.nih.gov/nucleotide/CP055898.1?report=genbank&amp;log$=nucltop&amp;blast_rank=98&amp;RID=0FYWN7S8013","CP055898.1")</f>
        <v>CP055898.1</v>
      </c>
    </row>
    <row r="388" spans="1:7" x14ac:dyDescent="0.35">
      <c r="A388" t="s">
        <v>96</v>
      </c>
      <c r="B388">
        <v>137</v>
      </c>
      <c r="C388">
        <v>137</v>
      </c>
      <c r="D388" s="2">
        <v>0.71</v>
      </c>
      <c r="E388" s="3">
        <v>2.9999999999999999E-30</v>
      </c>
      <c r="F388">
        <v>25.55</v>
      </c>
      <c r="G388" t="str">
        <f>HYPERLINK("https://www.ncbi.nlm.nih.gov/nucleotide/XM_026772820.1?report=genbank&amp;log$=nucltop&amp;blast_rank=99&amp;RID=0FYWN7S8013","XM_026772820.1")</f>
        <v>XM_026772820.1</v>
      </c>
    </row>
    <row r="389" spans="1:7" x14ac:dyDescent="0.35">
      <c r="A389" t="s">
        <v>492</v>
      </c>
      <c r="B389">
        <v>76.599999999999994</v>
      </c>
      <c r="C389">
        <v>152</v>
      </c>
      <c r="D389" s="2">
        <v>0.68</v>
      </c>
      <c r="E389" s="3">
        <v>1E-26</v>
      </c>
      <c r="F389">
        <v>24.63</v>
      </c>
      <c r="G389" t="str">
        <f>HYPERLINK("https://www.ncbi.nlm.nih.gov/nucleotide/CP066506.1?report=genbank&amp;log$=nucltop&amp;blast_rank=100&amp;RID=0FYWN7S8013","CP066506.1")</f>
        <v>CP066506.1</v>
      </c>
    </row>
    <row r="390" spans="1:7" x14ac:dyDescent="0.35">
      <c r="A390" s="1" t="s">
        <v>768</v>
      </c>
    </row>
    <row r="391" spans="1:7" x14ac:dyDescent="0.35">
      <c r="A391" s="1" t="s">
        <v>2</v>
      </c>
      <c r="B391" s="1" t="s">
        <v>3</v>
      </c>
      <c r="C391" s="1" t="s">
        <v>4</v>
      </c>
      <c r="D391" s="1" t="s">
        <v>5</v>
      </c>
      <c r="E391" s="1" t="s">
        <v>6</v>
      </c>
      <c r="F391" s="1" t="s">
        <v>7</v>
      </c>
      <c r="G391" s="1" t="s">
        <v>8</v>
      </c>
    </row>
    <row r="392" spans="1:7" x14ac:dyDescent="0.35">
      <c r="A392" t="s">
        <v>37</v>
      </c>
      <c r="B392">
        <v>150</v>
      </c>
      <c r="C392">
        <v>776</v>
      </c>
      <c r="D392" s="2">
        <v>0.56000000000000005</v>
      </c>
      <c r="E392" s="3">
        <v>1.9999999999999999E-34</v>
      </c>
      <c r="F392">
        <v>76.040000000000006</v>
      </c>
      <c r="G392" t="str">
        <f>HYPERLINK("https://www.ncbi.nlm.nih.gov/nucleotide/LR732085.1?report=genbank&amp;log$=nucltop&amp;blast_rank=1&amp;RID=0FYY9V8V016","LR732085.1")</f>
        <v>LR732085.1</v>
      </c>
    </row>
    <row r="393" spans="1:7" x14ac:dyDescent="0.35">
      <c r="A393" t="s">
        <v>380</v>
      </c>
      <c r="B393">
        <v>99.4</v>
      </c>
      <c r="C393">
        <v>236</v>
      </c>
      <c r="D393" s="2">
        <v>0.33</v>
      </c>
      <c r="E393" s="3">
        <v>8.0000000000000006E-18</v>
      </c>
      <c r="F393">
        <v>69.84</v>
      </c>
      <c r="G393" t="str">
        <f>HYPERLINK("https://www.ncbi.nlm.nih.gov/nucleotide/AC277528.1?report=genbank&amp;log$=nucltop&amp;blast_rank=2&amp;RID=0FYY9V8V016","AC277528.1")</f>
        <v>AC277528.1</v>
      </c>
    </row>
    <row r="394" spans="1:7" x14ac:dyDescent="0.35">
      <c r="A394" t="s">
        <v>384</v>
      </c>
      <c r="B394">
        <v>94</v>
      </c>
      <c r="C394">
        <v>184</v>
      </c>
      <c r="D394" s="2">
        <v>0.27</v>
      </c>
      <c r="E394" s="3">
        <v>5.0000000000000004E-16</v>
      </c>
      <c r="F394">
        <v>54.93</v>
      </c>
      <c r="G394" t="str">
        <f>HYPERLINK("https://www.ncbi.nlm.nih.gov/nucleotide/AC253760.1?report=genbank&amp;log$=nucltop&amp;blast_rank=3&amp;RID=0FYY9V8V016","AC253760.1")</f>
        <v>AC253760.1</v>
      </c>
    </row>
    <row r="395" spans="1:7" x14ac:dyDescent="0.35">
      <c r="A395" t="s">
        <v>385</v>
      </c>
      <c r="B395">
        <v>94</v>
      </c>
      <c r="C395">
        <v>184</v>
      </c>
      <c r="D395" s="2">
        <v>0.27</v>
      </c>
      <c r="E395" s="3">
        <v>5.9999999999999999E-16</v>
      </c>
      <c r="F395">
        <v>54.93</v>
      </c>
      <c r="G395" t="str">
        <f>HYPERLINK("https://www.ncbi.nlm.nih.gov/nucleotide/CP015468.1?report=genbank&amp;log$=nucltop&amp;blast_rank=4&amp;RID=0FYY9V8V016","CP015468.1")</f>
        <v>CP015468.1</v>
      </c>
    </row>
    <row r="396" spans="1:7" x14ac:dyDescent="0.35">
      <c r="A396" t="s">
        <v>382</v>
      </c>
      <c r="B396">
        <v>94</v>
      </c>
      <c r="C396">
        <v>185</v>
      </c>
      <c r="D396" s="2">
        <v>0.27</v>
      </c>
      <c r="E396" s="3">
        <v>5.9999999999999999E-16</v>
      </c>
      <c r="F396">
        <v>54.93</v>
      </c>
      <c r="G396" t="str">
        <f>HYPERLINK("https://www.ncbi.nlm.nih.gov/nucleotide/CP039884.1?report=genbank&amp;log$=nucltop&amp;blast_rank=5&amp;RID=0FYY9V8V016","CP039884.1")</f>
        <v>CP039884.1</v>
      </c>
    </row>
    <row r="397" spans="1:7" x14ac:dyDescent="0.35">
      <c r="A397" t="s">
        <v>383</v>
      </c>
      <c r="B397">
        <v>94</v>
      </c>
      <c r="C397">
        <v>184</v>
      </c>
      <c r="D397" s="2">
        <v>0.27</v>
      </c>
      <c r="E397" s="3">
        <v>5.9999999999999999E-16</v>
      </c>
      <c r="F397">
        <v>54.93</v>
      </c>
      <c r="G397" t="str">
        <f>HYPERLINK("https://www.ncbi.nlm.nih.gov/nucleotide/CP015481.1?report=genbank&amp;log$=nucltop&amp;blast_rank=6&amp;RID=0FYY9V8V016","CP015481.1")</f>
        <v>CP015481.1</v>
      </c>
    </row>
    <row r="398" spans="1:7" x14ac:dyDescent="0.35">
      <c r="A398" t="s">
        <v>386</v>
      </c>
      <c r="B398">
        <v>94</v>
      </c>
      <c r="C398">
        <v>94</v>
      </c>
      <c r="D398" s="2">
        <v>0.15</v>
      </c>
      <c r="E398" s="3">
        <v>5.0000000000000004E-18</v>
      </c>
      <c r="F398">
        <v>53.26</v>
      </c>
      <c r="G398" t="str">
        <f>HYPERLINK("https://www.ncbi.nlm.nih.gov/nucleotide/LC002234.1?report=genbank&amp;log$=nucltop&amp;blast_rank=7&amp;RID=0FYY9V8V016","LC002234.1")</f>
        <v>LC002234.1</v>
      </c>
    </row>
    <row r="399" spans="1:7" x14ac:dyDescent="0.35">
      <c r="A399" t="s">
        <v>387</v>
      </c>
      <c r="B399">
        <v>93.6</v>
      </c>
      <c r="C399">
        <v>93.6</v>
      </c>
      <c r="D399" s="2">
        <v>0.15</v>
      </c>
      <c r="E399" s="3">
        <v>6.9999999999999997E-18</v>
      </c>
      <c r="F399">
        <v>53.26</v>
      </c>
      <c r="G399" t="str">
        <f>HYPERLINK("https://www.ncbi.nlm.nih.gov/nucleotide/LC002235.1?report=genbank&amp;log$=nucltop&amp;blast_rank=8&amp;RID=0FYY9V8V016","LC002235.1")</f>
        <v>LC002235.1</v>
      </c>
    </row>
    <row r="400" spans="1:7" x14ac:dyDescent="0.35">
      <c r="A400" t="s">
        <v>388</v>
      </c>
      <c r="B400">
        <v>219</v>
      </c>
      <c r="C400">
        <v>219</v>
      </c>
      <c r="D400" s="2">
        <v>0.41</v>
      </c>
      <c r="E400" s="3">
        <v>3.0000000000000002E-60</v>
      </c>
      <c r="F400">
        <v>51.6</v>
      </c>
      <c r="G400" t="str">
        <f>HYPERLINK("https://www.ncbi.nlm.nih.gov/nucleotide/XM_003026031.1?report=genbank&amp;log$=nucltop&amp;blast_rank=9&amp;RID=0FYY9V8V016","XM_003026031.1")</f>
        <v>XM_003026031.1</v>
      </c>
    </row>
    <row r="401" spans="1:7" x14ac:dyDescent="0.35">
      <c r="A401" t="s">
        <v>390</v>
      </c>
      <c r="B401">
        <v>190</v>
      </c>
      <c r="C401">
        <v>190</v>
      </c>
      <c r="D401" s="2">
        <v>0.41</v>
      </c>
      <c r="E401" s="3">
        <v>4E-52</v>
      </c>
      <c r="F401">
        <v>47.44</v>
      </c>
      <c r="G401" t="str">
        <f>HYPERLINK("https://www.ncbi.nlm.nih.gov/nucleotide/LR725265.1?report=genbank&amp;log$=nucltop&amp;blast_rank=10&amp;RID=0FYY9V8V016","LR725265.1")</f>
        <v>LR725265.1</v>
      </c>
    </row>
    <row r="402" spans="1:7" x14ac:dyDescent="0.35">
      <c r="A402" t="s">
        <v>391</v>
      </c>
      <c r="B402">
        <v>187</v>
      </c>
      <c r="C402">
        <v>187</v>
      </c>
      <c r="D402" s="2">
        <v>0.41</v>
      </c>
      <c r="E402" s="3">
        <v>4E-51</v>
      </c>
      <c r="F402">
        <v>46.73</v>
      </c>
      <c r="G402" t="str">
        <f>HYPERLINK("https://www.ncbi.nlm.nih.gov/nucleotide/XM_024485421.1?report=genbank&amp;log$=nucltop&amp;blast_rank=11&amp;RID=0FYY9V8V016","XM_024485421.1")</f>
        <v>XM_024485421.1</v>
      </c>
    </row>
    <row r="403" spans="1:7" x14ac:dyDescent="0.35">
      <c r="A403" s="4" t="s">
        <v>392</v>
      </c>
      <c r="B403" s="4">
        <v>187</v>
      </c>
      <c r="C403" s="4">
        <v>187</v>
      </c>
      <c r="D403" s="5">
        <v>0.41</v>
      </c>
      <c r="E403" s="6">
        <v>2E-52</v>
      </c>
      <c r="F403" s="4">
        <v>46.51</v>
      </c>
      <c r="G403" s="4" t="str">
        <f>HYPERLINK("https://www.ncbi.nlm.nih.gov/nucleotide/XM_007363371.1?report=genbank&amp;log$=nucltop&amp;blast_rank=12&amp;RID=0FYY9V8V016","XM_007363371.1")</f>
        <v>XM_007363371.1</v>
      </c>
    </row>
    <row r="404" spans="1:7" x14ac:dyDescent="0.35">
      <c r="A404" t="s">
        <v>389</v>
      </c>
      <c r="B404">
        <v>196</v>
      </c>
      <c r="C404">
        <v>196</v>
      </c>
      <c r="D404" s="2">
        <v>0.41</v>
      </c>
      <c r="E404" s="3">
        <v>5E-52</v>
      </c>
      <c r="F404">
        <v>45.79</v>
      </c>
      <c r="G404" t="str">
        <f>HYPERLINK("https://www.ncbi.nlm.nih.gov/nucleotide/XM_001835018.2?report=genbank&amp;log$=nucltop&amp;blast_rank=13&amp;RID=0FYY9V8V016","XM_001835018.2")</f>
        <v>XM_001835018.2</v>
      </c>
    </row>
    <row r="405" spans="1:7" x14ac:dyDescent="0.35">
      <c r="A405" s="4" t="s">
        <v>395</v>
      </c>
      <c r="B405" s="4">
        <v>194</v>
      </c>
      <c r="C405" s="4">
        <v>194</v>
      </c>
      <c r="D405" s="5">
        <v>0.41</v>
      </c>
      <c r="E405" s="6">
        <v>8E-55</v>
      </c>
      <c r="F405" s="4">
        <v>45.62</v>
      </c>
      <c r="G405" s="4" t="str">
        <f>HYPERLINK("https://www.ncbi.nlm.nih.gov/nucleotide/XM_008043200.1?report=genbank&amp;log$=nucltop&amp;blast_rank=14&amp;RID=0FYY9V8V016","XM_008043200.1")</f>
        <v>XM_008043200.1</v>
      </c>
    </row>
    <row r="406" spans="1:7" x14ac:dyDescent="0.35">
      <c r="A406" s="4" t="s">
        <v>393</v>
      </c>
      <c r="B406" s="4">
        <v>193</v>
      </c>
      <c r="C406" s="4">
        <v>193</v>
      </c>
      <c r="D406" s="5">
        <v>0.41</v>
      </c>
      <c r="E406" s="6">
        <v>3E-52</v>
      </c>
      <c r="F406" s="4">
        <v>45.16</v>
      </c>
      <c r="G406" s="4" t="str">
        <f>HYPERLINK("https://www.ncbi.nlm.nih.gov/nucleotide/XM_001879532.1?report=genbank&amp;log$=nucltop&amp;blast_rank=15&amp;RID=0FYY9V8V016","XM_001879532.1")</f>
        <v>XM_001879532.1</v>
      </c>
    </row>
    <row r="407" spans="1:7" x14ac:dyDescent="0.35">
      <c r="A407" s="4" t="s">
        <v>394</v>
      </c>
      <c r="B407" s="4">
        <v>185</v>
      </c>
      <c r="C407" s="4">
        <v>185</v>
      </c>
      <c r="D407" s="5">
        <v>0.41</v>
      </c>
      <c r="E407" s="6">
        <v>2E-51</v>
      </c>
      <c r="F407" s="4">
        <v>45.16</v>
      </c>
      <c r="G407" s="4" t="str">
        <f>HYPERLINK("https://www.ncbi.nlm.nih.gov/nucleotide/XM_007872033.1?report=genbank&amp;log$=nucltop&amp;blast_rank=16&amp;RID=0FYY9V8V016","XM_007872033.1")</f>
        <v>XM_007872033.1</v>
      </c>
    </row>
    <row r="408" spans="1:7" x14ac:dyDescent="0.35">
      <c r="A408" t="s">
        <v>21</v>
      </c>
      <c r="B408">
        <v>173</v>
      </c>
      <c r="C408">
        <v>173</v>
      </c>
      <c r="D408" s="2">
        <v>0.41</v>
      </c>
      <c r="E408" s="3">
        <v>9E-47</v>
      </c>
      <c r="F408">
        <v>44.19</v>
      </c>
      <c r="G408" t="str">
        <f>HYPERLINK("https://www.ncbi.nlm.nih.gov/nucleotide/XM_009554316.1?report=genbank&amp;log$=nucltop&amp;blast_rank=17&amp;RID=0FYY9V8V016","XM_009554316.1")</f>
        <v>XM_009554316.1</v>
      </c>
    </row>
    <row r="409" spans="1:7" x14ac:dyDescent="0.35">
      <c r="A409" t="s">
        <v>398</v>
      </c>
      <c r="B409">
        <v>186</v>
      </c>
      <c r="C409">
        <v>244</v>
      </c>
      <c r="D409" s="2">
        <v>0.56000000000000005</v>
      </c>
      <c r="E409" s="3">
        <v>3E-49</v>
      </c>
      <c r="F409">
        <v>43.75</v>
      </c>
      <c r="G409" t="str">
        <f>HYPERLINK("https://www.ncbi.nlm.nih.gov/nucleotide/XM_007306844.1?report=genbank&amp;log$=nucltop&amp;blast_rank=18&amp;RID=0FYY9V8V016","XM_007306844.1")</f>
        <v>XM_007306844.1</v>
      </c>
    </row>
    <row r="410" spans="1:7" x14ac:dyDescent="0.35">
      <c r="A410" t="s">
        <v>397</v>
      </c>
      <c r="B410">
        <v>190</v>
      </c>
      <c r="C410">
        <v>190</v>
      </c>
      <c r="D410" s="2">
        <v>0.48</v>
      </c>
      <c r="E410" s="3">
        <v>4E-52</v>
      </c>
      <c r="F410">
        <v>42.57</v>
      </c>
      <c r="G410" t="str">
        <f>HYPERLINK("https://www.ncbi.nlm.nih.gov/nucleotide/XM_007397903.1?report=genbank&amp;log$=nucltop&amp;blast_rank=19&amp;RID=0FYY9V8V016","XM_007397903.1")</f>
        <v>XM_007397903.1</v>
      </c>
    </row>
    <row r="411" spans="1:7" x14ac:dyDescent="0.35">
      <c r="A411" t="s">
        <v>396</v>
      </c>
      <c r="B411">
        <v>177</v>
      </c>
      <c r="C411">
        <v>177</v>
      </c>
      <c r="D411" s="2">
        <v>0.41</v>
      </c>
      <c r="E411" s="3">
        <v>2E-45</v>
      </c>
      <c r="F411">
        <v>42.52</v>
      </c>
      <c r="G411" t="str">
        <f>HYPERLINK("https://www.ncbi.nlm.nih.gov/nucleotide/XM_027759476.1?report=genbank&amp;log$=nucltop&amp;blast_rank=20&amp;RID=0FYY9V8V016","XM_027759476.1")</f>
        <v>XM_027759476.1</v>
      </c>
    </row>
    <row r="412" spans="1:7" x14ac:dyDescent="0.35">
      <c r="A412" t="s">
        <v>400</v>
      </c>
      <c r="B412">
        <v>168</v>
      </c>
      <c r="C412">
        <v>168</v>
      </c>
      <c r="D412" s="2">
        <v>0.41</v>
      </c>
      <c r="E412" s="3">
        <v>1E-41</v>
      </c>
      <c r="F412">
        <v>41.86</v>
      </c>
      <c r="G412" t="str">
        <f>HYPERLINK("https://www.ncbi.nlm.nih.gov/nucleotide/XM_007262375.1?report=genbank&amp;log$=nucltop&amp;blast_rank=21&amp;RID=0FYY9V8V016","XM_007262375.1")</f>
        <v>XM_007262375.1</v>
      </c>
    </row>
    <row r="413" spans="1:7" x14ac:dyDescent="0.35">
      <c r="A413" s="4" t="s">
        <v>399</v>
      </c>
      <c r="B413" s="4">
        <v>181</v>
      </c>
      <c r="C413" s="4">
        <v>181</v>
      </c>
      <c r="D413" s="5">
        <v>0.41</v>
      </c>
      <c r="E413" s="6">
        <v>7.9999999999999995E-49</v>
      </c>
      <c r="F413" s="4">
        <v>41.59</v>
      </c>
      <c r="G413" s="4" t="str">
        <f>HYPERLINK("https://www.ncbi.nlm.nih.gov/nucleotide/XM_007385455.1?report=genbank&amp;log$=nucltop&amp;blast_rank=22&amp;RID=0FYY9V8V016","XM_007385455.1")</f>
        <v>XM_007385455.1</v>
      </c>
    </row>
    <row r="414" spans="1:7" x14ac:dyDescent="0.35">
      <c r="A414" t="s">
        <v>403</v>
      </c>
      <c r="B414">
        <v>194</v>
      </c>
      <c r="C414">
        <v>253</v>
      </c>
      <c r="D414" s="2">
        <v>0.64</v>
      </c>
      <c r="E414" s="3">
        <v>6.0000000000000004E-53</v>
      </c>
      <c r="F414">
        <v>41.2</v>
      </c>
      <c r="G414" t="str">
        <f>HYPERLINK("https://www.ncbi.nlm.nih.gov/nucleotide/XM_037362770.1?report=genbank&amp;log$=nucltop&amp;blast_rank=23&amp;RID=0FYY9V8V016","XM_037362770.1")</f>
        <v>XM_037362770.1</v>
      </c>
    </row>
    <row r="415" spans="1:7" x14ac:dyDescent="0.35">
      <c r="A415" t="s">
        <v>401</v>
      </c>
      <c r="B415">
        <v>168</v>
      </c>
      <c r="C415">
        <v>168</v>
      </c>
      <c r="D415" s="2">
        <v>0.4</v>
      </c>
      <c r="E415" s="3">
        <v>2.0000000000000001E-42</v>
      </c>
      <c r="F415">
        <v>39.630000000000003</v>
      </c>
      <c r="G415" t="str">
        <f>HYPERLINK("https://www.ncbi.nlm.nih.gov/nucleotide/XM_006455985.1?report=genbank&amp;log$=nucltop&amp;blast_rank=24&amp;RID=0FYY9V8V016","XM_006455985.1")</f>
        <v>XM_006455985.1</v>
      </c>
    </row>
    <row r="416" spans="1:7" x14ac:dyDescent="0.35">
      <c r="A416" t="s">
        <v>402</v>
      </c>
      <c r="B416">
        <v>168</v>
      </c>
      <c r="C416">
        <v>168</v>
      </c>
      <c r="D416" s="2">
        <v>0.4</v>
      </c>
      <c r="E416" s="3">
        <v>2.0000000000000001E-42</v>
      </c>
      <c r="F416">
        <v>39.630000000000003</v>
      </c>
      <c r="G416" t="str">
        <f>HYPERLINK("https://www.ncbi.nlm.nih.gov/nucleotide/XM_007331822.1?report=genbank&amp;log$=nucltop&amp;blast_rank=25&amp;RID=0FYY9V8V016","XM_007331822.1")</f>
        <v>XM_007331822.1</v>
      </c>
    </row>
    <row r="417" spans="1:7" x14ac:dyDescent="0.35">
      <c r="A417" t="s">
        <v>404</v>
      </c>
      <c r="B417">
        <v>143</v>
      </c>
      <c r="C417">
        <v>143</v>
      </c>
      <c r="D417" s="2">
        <v>0.38</v>
      </c>
      <c r="E417" s="3">
        <v>1.0000000000000001E-33</v>
      </c>
      <c r="F417">
        <v>38.92</v>
      </c>
      <c r="G417" t="str">
        <f>HYPERLINK("https://www.ncbi.nlm.nih.gov/nucleotide/XM_036771658.1?report=genbank&amp;log$=nucltop&amp;blast_rank=26&amp;RID=0FYY9V8V016","XM_036771658.1")</f>
        <v>XM_036771658.1</v>
      </c>
    </row>
    <row r="418" spans="1:7" x14ac:dyDescent="0.35">
      <c r="A418" t="s">
        <v>405</v>
      </c>
      <c r="B418">
        <v>166</v>
      </c>
      <c r="C418">
        <v>166</v>
      </c>
      <c r="D418" s="2">
        <v>0.41</v>
      </c>
      <c r="E418" s="3">
        <v>6.0000000000000004E-40</v>
      </c>
      <c r="F418">
        <v>38.65</v>
      </c>
      <c r="G418" t="str">
        <f>HYPERLINK("https://www.ncbi.nlm.nih.gov/nucleotide/CP019382.1?report=genbank&amp;log$=nucltop&amp;blast_rank=27&amp;RID=0FYY9V8V016","CP019382.1")</f>
        <v>CP019382.1</v>
      </c>
    </row>
    <row r="419" spans="1:7" x14ac:dyDescent="0.35">
      <c r="A419" t="s">
        <v>126</v>
      </c>
      <c r="B419">
        <v>137</v>
      </c>
      <c r="C419">
        <v>137</v>
      </c>
      <c r="D419" s="2">
        <v>0.41</v>
      </c>
      <c r="E419" s="3">
        <v>5.9999999999999996E-31</v>
      </c>
      <c r="F419">
        <v>38.32</v>
      </c>
      <c r="G419" t="str">
        <f>HYPERLINK("https://www.ncbi.nlm.nih.gov/nucleotide/XM_007775763.1?report=genbank&amp;log$=nucltop&amp;blast_rank=28&amp;RID=0FYY9V8V016","XM_007775763.1")</f>
        <v>XM_007775763.1</v>
      </c>
    </row>
    <row r="420" spans="1:7" x14ac:dyDescent="0.35">
      <c r="A420" s="4" t="s">
        <v>407</v>
      </c>
      <c r="B420" s="4">
        <v>141</v>
      </c>
      <c r="C420" s="4">
        <v>141</v>
      </c>
      <c r="D420" s="5">
        <v>0.41</v>
      </c>
      <c r="E420" s="6">
        <v>4.9999999999999996E-35</v>
      </c>
      <c r="F420" s="4">
        <v>38.049999999999997</v>
      </c>
      <c r="G420" s="4" t="str">
        <f>HYPERLINK("https://www.ncbi.nlm.nih.gov/nucleotide/XM_018424900.1?report=genbank&amp;log$=nucltop&amp;blast_rank=29&amp;RID=0FYY9V8V016","XM_018424900.1")</f>
        <v>XM_018424900.1</v>
      </c>
    </row>
    <row r="421" spans="1:7" x14ac:dyDescent="0.35">
      <c r="A421" s="4" t="s">
        <v>415</v>
      </c>
      <c r="B421" s="4">
        <v>135</v>
      </c>
      <c r="C421" s="4">
        <v>135</v>
      </c>
      <c r="D421" s="5">
        <v>0.41</v>
      </c>
      <c r="E421" s="6">
        <v>5.0000000000000004E-31</v>
      </c>
      <c r="F421" s="4">
        <v>38.01</v>
      </c>
      <c r="G421" s="4" t="str">
        <f>HYPERLINK("https://www.ncbi.nlm.nih.gov/nucleotide/XM_019155149.1?report=genbank&amp;log$=nucltop&amp;blast_rank=30&amp;RID=0FYY9V8V016","XM_019155149.1")</f>
        <v>XM_019155149.1</v>
      </c>
    </row>
    <row r="422" spans="1:7" x14ac:dyDescent="0.35">
      <c r="A422" s="4" t="s">
        <v>416</v>
      </c>
      <c r="B422" s="4">
        <v>135</v>
      </c>
      <c r="C422" s="4">
        <v>135</v>
      </c>
      <c r="D422" s="5">
        <v>0.41</v>
      </c>
      <c r="E422" s="6">
        <v>8.0000000000000007E-31</v>
      </c>
      <c r="F422" s="4">
        <v>38.01</v>
      </c>
      <c r="G422" s="4" t="str">
        <f>HYPERLINK("https://www.ncbi.nlm.nih.gov/nucleotide/XM_018409022.1?report=genbank&amp;log$=nucltop&amp;blast_rank=31&amp;RID=0FYY9V8V016","XM_018409022.1")</f>
        <v>XM_018409022.1</v>
      </c>
    </row>
    <row r="423" spans="1:7" x14ac:dyDescent="0.35">
      <c r="A423" s="4" t="s">
        <v>412</v>
      </c>
      <c r="B423" s="4">
        <v>134</v>
      </c>
      <c r="C423" s="4">
        <v>134</v>
      </c>
      <c r="D423" s="5">
        <v>0.41</v>
      </c>
      <c r="E423" s="6">
        <v>2.0000000000000002E-30</v>
      </c>
      <c r="F423" s="4">
        <v>37.96</v>
      </c>
      <c r="G423" s="4" t="str">
        <f>HYPERLINK("https://www.ncbi.nlm.nih.gov/nucleotide/XM_019193050.1?report=genbank&amp;log$=nucltop&amp;blast_rank=32&amp;RID=0FYY9V8V016","XM_019193050.1")</f>
        <v>XM_019193050.1</v>
      </c>
    </row>
    <row r="424" spans="1:7" x14ac:dyDescent="0.35">
      <c r="A424" t="s">
        <v>413</v>
      </c>
      <c r="B424">
        <v>119</v>
      </c>
      <c r="C424">
        <v>119</v>
      </c>
      <c r="D424" s="2">
        <v>0.4</v>
      </c>
      <c r="E424" s="3">
        <v>1.9999999999999998E-24</v>
      </c>
      <c r="F424">
        <v>37.85</v>
      </c>
      <c r="G424" t="str">
        <f>HYPERLINK("https://www.ncbi.nlm.nih.gov/nucleotide/LT558130.1?report=genbank&amp;log$=nucltop&amp;blast_rank=33&amp;RID=0FYY9V8V016","LT558130.1")</f>
        <v>LT558130.1</v>
      </c>
    </row>
    <row r="425" spans="1:7" x14ac:dyDescent="0.35">
      <c r="A425" t="s">
        <v>428</v>
      </c>
      <c r="B425">
        <v>124</v>
      </c>
      <c r="C425">
        <v>124</v>
      </c>
      <c r="D425" s="2">
        <v>0.4</v>
      </c>
      <c r="E425" s="3">
        <v>5.0000000000000002E-27</v>
      </c>
      <c r="F425">
        <v>37.380000000000003</v>
      </c>
      <c r="G425" t="str">
        <f>HYPERLINK("https://www.ncbi.nlm.nih.gov/nucleotide/XM_011391860.1?report=genbank&amp;log$=nucltop&amp;blast_rank=34&amp;RID=0FYY9V8V016","XM_011391860.1")</f>
        <v>XM_011391860.1</v>
      </c>
    </row>
    <row r="426" spans="1:7" x14ac:dyDescent="0.35">
      <c r="A426" t="s">
        <v>421</v>
      </c>
      <c r="B426">
        <v>118</v>
      </c>
      <c r="C426">
        <v>118</v>
      </c>
      <c r="D426" s="2">
        <v>0.4</v>
      </c>
      <c r="E426" s="3">
        <v>4.9999999999999996E-25</v>
      </c>
      <c r="F426">
        <v>37.380000000000003</v>
      </c>
      <c r="G426" t="str">
        <f>HYPERLINK("https://www.ncbi.nlm.nih.gov/nucleotide/XM_029881727.1?report=genbank&amp;log$=nucltop&amp;blast_rank=35&amp;RID=0FYY9V8V016","XM_029881727.1")</f>
        <v>XM_029881727.1</v>
      </c>
    </row>
    <row r="427" spans="1:7" x14ac:dyDescent="0.35">
      <c r="A427" t="s">
        <v>422</v>
      </c>
      <c r="B427">
        <v>119</v>
      </c>
      <c r="C427">
        <v>119</v>
      </c>
      <c r="D427" s="2">
        <v>0.4</v>
      </c>
      <c r="E427" s="3">
        <v>3E-24</v>
      </c>
      <c r="F427">
        <v>37.380000000000003</v>
      </c>
      <c r="G427" t="str">
        <f>HYPERLINK("https://www.ncbi.nlm.nih.gov/nucleotide/HG529735.1?report=genbank&amp;log$=nucltop&amp;blast_rank=36&amp;RID=0FYY9V8V016","HG529735.1")</f>
        <v>HG529735.1</v>
      </c>
    </row>
    <row r="428" spans="1:7" x14ac:dyDescent="0.35">
      <c r="A428" t="s">
        <v>423</v>
      </c>
      <c r="B428">
        <v>115</v>
      </c>
      <c r="C428">
        <v>115</v>
      </c>
      <c r="D428" s="2">
        <v>0.4</v>
      </c>
      <c r="E428" s="3">
        <v>3E-23</v>
      </c>
      <c r="F428">
        <v>37.380000000000003</v>
      </c>
      <c r="G428" t="str">
        <f>HYPERLINK("https://www.ncbi.nlm.nih.gov/nucleotide/LK056684.1?report=genbank&amp;log$=nucltop&amp;blast_rank=37&amp;RID=0FYY9V8V016","LK056684.1")</f>
        <v>LK056684.1</v>
      </c>
    </row>
    <row r="429" spans="1:7" x14ac:dyDescent="0.35">
      <c r="A429" t="s">
        <v>424</v>
      </c>
      <c r="B429">
        <v>115</v>
      </c>
      <c r="C429">
        <v>115</v>
      </c>
      <c r="D429" s="2">
        <v>0.4</v>
      </c>
      <c r="E429" s="3">
        <v>3E-23</v>
      </c>
      <c r="F429">
        <v>37.380000000000003</v>
      </c>
      <c r="G429" t="str">
        <f>HYPERLINK("https://www.ncbi.nlm.nih.gov/nucleotide/CP010927.1?report=genbank&amp;log$=nucltop&amp;blast_rank=38&amp;RID=0FYY9V8V016","CP010927.1")</f>
        <v>CP010927.1</v>
      </c>
    </row>
    <row r="430" spans="1:7" x14ac:dyDescent="0.35">
      <c r="A430" t="s">
        <v>414</v>
      </c>
      <c r="B430">
        <v>124</v>
      </c>
      <c r="C430">
        <v>124</v>
      </c>
      <c r="D430" s="2">
        <v>0.4</v>
      </c>
      <c r="E430" s="3">
        <v>8.0000000000000003E-27</v>
      </c>
      <c r="F430">
        <v>37.270000000000003</v>
      </c>
      <c r="G430" t="str">
        <f>HYPERLINK("https://www.ncbi.nlm.nih.gov/nucleotide/XM_025507480.1?report=genbank&amp;log$=nucltop&amp;blast_rank=39&amp;RID=0FYY9V8V016","XM_025507480.1")</f>
        <v>XM_025507480.1</v>
      </c>
    </row>
    <row r="431" spans="1:7" x14ac:dyDescent="0.35">
      <c r="A431" t="s">
        <v>426</v>
      </c>
      <c r="B431">
        <v>126</v>
      </c>
      <c r="C431">
        <v>126</v>
      </c>
      <c r="D431" s="2">
        <v>0.4</v>
      </c>
      <c r="E431" s="3">
        <v>6.0000000000000001E-28</v>
      </c>
      <c r="F431">
        <v>37.21</v>
      </c>
      <c r="G431" t="str">
        <f>HYPERLINK("https://www.ncbi.nlm.nih.gov/nucleotide/XM_032005597.1?report=genbank&amp;log$=nucltop&amp;blast_rank=40&amp;RID=0FYY9V8V016","XM_032005597.1")</f>
        <v>XM_032005597.1</v>
      </c>
    </row>
    <row r="432" spans="1:7" x14ac:dyDescent="0.35">
      <c r="A432" t="s">
        <v>432</v>
      </c>
      <c r="B432">
        <v>133</v>
      </c>
      <c r="C432">
        <v>133</v>
      </c>
      <c r="D432" s="2">
        <v>0.4</v>
      </c>
      <c r="E432" s="3">
        <v>2.9999999999999999E-30</v>
      </c>
      <c r="F432">
        <v>37.090000000000003</v>
      </c>
      <c r="G432" t="str">
        <f>HYPERLINK("https://www.ncbi.nlm.nih.gov/nucleotide/XM_013385617.1?report=genbank&amp;log$=nucltop&amp;blast_rank=41&amp;RID=0FYY9V8V016","XM_013385617.1")</f>
        <v>XM_013385617.1</v>
      </c>
    </row>
    <row r="433" spans="1:7" x14ac:dyDescent="0.35">
      <c r="A433" t="s">
        <v>417</v>
      </c>
      <c r="B433">
        <v>125</v>
      </c>
      <c r="C433">
        <v>125</v>
      </c>
      <c r="D433" s="2">
        <v>0.4</v>
      </c>
      <c r="E433" s="3">
        <v>4.0000000000000002E-27</v>
      </c>
      <c r="F433">
        <v>36.99</v>
      </c>
      <c r="G433" t="str">
        <f>HYPERLINK("https://www.ncbi.nlm.nih.gov/nucleotide/XM_007006886.1?report=genbank&amp;log$=nucltop&amp;blast_rank=42&amp;RID=0FYY9V8V016","XM_007006886.1")</f>
        <v>XM_007006886.1</v>
      </c>
    </row>
    <row r="434" spans="1:7" x14ac:dyDescent="0.35">
      <c r="A434" s="4" t="s">
        <v>419</v>
      </c>
      <c r="B434" s="4">
        <v>135</v>
      </c>
      <c r="C434" s="4">
        <v>135</v>
      </c>
      <c r="D434" s="5">
        <v>0.4</v>
      </c>
      <c r="E434" s="6">
        <v>1.0000000000000001E-30</v>
      </c>
      <c r="F434" s="4">
        <v>36.94</v>
      </c>
      <c r="G434" s="4" t="str">
        <f>HYPERLINK("https://www.ncbi.nlm.nih.gov/nucleotide/XM_019179827.1?report=genbank&amp;log$=nucltop&amp;blast_rank=43&amp;RID=0FYY9V8V016","XM_019179827.1")</f>
        <v>XM_019179827.1</v>
      </c>
    </row>
    <row r="435" spans="1:7" x14ac:dyDescent="0.35">
      <c r="A435" t="s">
        <v>420</v>
      </c>
      <c r="B435">
        <v>129</v>
      </c>
      <c r="C435">
        <v>129</v>
      </c>
      <c r="D435" s="2">
        <v>0.41</v>
      </c>
      <c r="E435" s="3">
        <v>6.9999999999999995E-29</v>
      </c>
      <c r="F435">
        <v>36.94</v>
      </c>
      <c r="G435" t="str">
        <f>HYPERLINK("https://www.ncbi.nlm.nih.gov/nucleotide/XM_019143722.1?report=genbank&amp;log$=nucltop&amp;blast_rank=44&amp;RID=0FYY9V8V016","XM_019143722.1")</f>
        <v>XM_019143722.1</v>
      </c>
    </row>
    <row r="436" spans="1:7" x14ac:dyDescent="0.35">
      <c r="A436" t="s">
        <v>183</v>
      </c>
      <c r="B436">
        <v>115</v>
      </c>
      <c r="C436">
        <v>115</v>
      </c>
      <c r="D436" s="2">
        <v>0.4</v>
      </c>
      <c r="E436" s="3">
        <v>3.9999999999999997E-24</v>
      </c>
      <c r="F436">
        <v>36.92</v>
      </c>
      <c r="G436" t="str">
        <f>HYPERLINK("https://www.ncbi.nlm.nih.gov/nucleotide/XM_016436758.1?report=genbank&amp;log$=nucltop&amp;blast_rank=45&amp;RID=0FYY9V8V016","XM_016436758.1")</f>
        <v>XM_016436758.1</v>
      </c>
    </row>
    <row r="437" spans="1:7" x14ac:dyDescent="0.35">
      <c r="A437" t="s">
        <v>430</v>
      </c>
      <c r="B437">
        <v>114</v>
      </c>
      <c r="C437">
        <v>114</v>
      </c>
      <c r="D437" s="2">
        <v>0.4</v>
      </c>
      <c r="E437" s="3">
        <v>1E-22</v>
      </c>
      <c r="F437">
        <v>36.92</v>
      </c>
      <c r="G437" t="str">
        <f>HYPERLINK("https://www.ncbi.nlm.nih.gov/nucleotide/LT795063.1?report=genbank&amp;log$=nucltop&amp;blast_rank=46&amp;RID=0FYY9V8V016","LT795063.1")</f>
        <v>LT795063.1</v>
      </c>
    </row>
    <row r="438" spans="1:7" x14ac:dyDescent="0.35">
      <c r="A438" t="s">
        <v>429</v>
      </c>
      <c r="B438">
        <v>114</v>
      </c>
      <c r="C438">
        <v>114</v>
      </c>
      <c r="D438" s="2">
        <v>0.4</v>
      </c>
      <c r="E438" s="3">
        <v>1E-22</v>
      </c>
      <c r="F438">
        <v>36.92</v>
      </c>
      <c r="G438" t="str">
        <f>HYPERLINK("https://www.ncbi.nlm.nih.gov/nucleotide/FQ311431.1?report=genbank&amp;log$=nucltop&amp;blast_rank=47&amp;RID=0FYY9V8V016","FQ311431.1")</f>
        <v>FQ311431.1</v>
      </c>
    </row>
    <row r="439" spans="1:7" x14ac:dyDescent="0.35">
      <c r="A439" t="s">
        <v>408</v>
      </c>
      <c r="B439">
        <v>129</v>
      </c>
      <c r="C439">
        <v>129</v>
      </c>
      <c r="D439" s="2">
        <v>0.4</v>
      </c>
      <c r="E439" s="3">
        <v>9.9999999999999997E-29</v>
      </c>
      <c r="F439">
        <v>36.82</v>
      </c>
      <c r="G439" t="str">
        <f>HYPERLINK("https://www.ncbi.nlm.nih.gov/nucleotide/XM_003194443.1?report=genbank&amp;log$=nucltop&amp;blast_rank=48&amp;RID=0FYY9V8V016","XM_003194443.1")</f>
        <v>XM_003194443.1</v>
      </c>
    </row>
    <row r="440" spans="1:7" x14ac:dyDescent="0.35">
      <c r="A440" t="s">
        <v>409</v>
      </c>
      <c r="B440">
        <v>128</v>
      </c>
      <c r="C440">
        <v>128</v>
      </c>
      <c r="D440" s="2">
        <v>0.4</v>
      </c>
      <c r="E440" s="3">
        <v>1.9999999999999999E-28</v>
      </c>
      <c r="F440">
        <v>36.82</v>
      </c>
      <c r="G440" t="str">
        <f>HYPERLINK("https://www.ncbi.nlm.nih.gov/nucleotide/XM_770139.1?report=genbank&amp;log$=nucltop&amp;blast_rank=49&amp;RID=0FYY9V8V016","XM_770139.1")</f>
        <v>XM_770139.1</v>
      </c>
    </row>
    <row r="441" spans="1:7" x14ac:dyDescent="0.35">
      <c r="A441" t="s">
        <v>410</v>
      </c>
      <c r="B441">
        <v>128</v>
      </c>
      <c r="C441">
        <v>128</v>
      </c>
      <c r="D441" s="2">
        <v>0.4</v>
      </c>
      <c r="E441" s="3">
        <v>1.9999999999999999E-28</v>
      </c>
      <c r="F441">
        <v>36.82</v>
      </c>
      <c r="G441" t="str">
        <f>HYPERLINK("https://www.ncbi.nlm.nih.gov/nucleotide/HQ399545.1?report=genbank&amp;log$=nucltop&amp;blast_rank=50&amp;RID=0FYY9V8V016","HQ399545.1")</f>
        <v>HQ399545.1</v>
      </c>
    </row>
    <row r="442" spans="1:7" x14ac:dyDescent="0.35">
      <c r="A442" t="s">
        <v>411</v>
      </c>
      <c r="B442">
        <v>128</v>
      </c>
      <c r="C442">
        <v>128</v>
      </c>
      <c r="D442" s="2">
        <v>0.4</v>
      </c>
      <c r="E442" s="3">
        <v>1E-27</v>
      </c>
      <c r="F442">
        <v>36.82</v>
      </c>
      <c r="G442" t="str">
        <f>HYPERLINK("https://www.ncbi.nlm.nih.gov/nucleotide/XM_571034.2?report=genbank&amp;log$=nucltop&amp;blast_rank=51&amp;RID=0FYY9V8V016","XM_571034.2")</f>
        <v>XM_571034.2</v>
      </c>
    </row>
    <row r="443" spans="1:7" x14ac:dyDescent="0.35">
      <c r="A443" t="s">
        <v>427</v>
      </c>
      <c r="B443">
        <v>135</v>
      </c>
      <c r="C443">
        <v>135</v>
      </c>
      <c r="D443" s="2">
        <v>0.4</v>
      </c>
      <c r="E443" s="3">
        <v>1.0000000000000001E-30</v>
      </c>
      <c r="F443">
        <v>36.61</v>
      </c>
      <c r="G443" t="str">
        <f>HYPERLINK("https://www.ncbi.nlm.nih.gov/nucleotide/XM_019138643.1?report=genbank&amp;log$=nucltop&amp;blast_rank=52&amp;RID=0FYY9V8V016","XM_019138643.1")</f>
        <v>XM_019138643.1</v>
      </c>
    </row>
    <row r="444" spans="1:7" x14ac:dyDescent="0.35">
      <c r="A444" t="s">
        <v>170</v>
      </c>
      <c r="B444">
        <v>115</v>
      </c>
      <c r="C444">
        <v>115</v>
      </c>
      <c r="D444" s="2">
        <v>0.4</v>
      </c>
      <c r="E444" s="3">
        <v>8.9999999999999995E-24</v>
      </c>
      <c r="F444">
        <v>36.450000000000003</v>
      </c>
      <c r="G444" t="str">
        <f>HYPERLINK("https://www.ncbi.nlm.nih.gov/nucleotide/XM_012334052.1?report=genbank&amp;log$=nucltop&amp;blast_rank=53&amp;RID=0FYY9V8V016","XM_012334052.1")</f>
        <v>XM_012334052.1</v>
      </c>
    </row>
    <row r="445" spans="1:7" x14ac:dyDescent="0.35">
      <c r="A445" t="s">
        <v>185</v>
      </c>
      <c r="B445">
        <v>117</v>
      </c>
      <c r="C445">
        <v>117</v>
      </c>
      <c r="D445" s="2">
        <v>0.4</v>
      </c>
      <c r="E445" s="3">
        <v>2.9999999999999998E-25</v>
      </c>
      <c r="F445">
        <v>36.28</v>
      </c>
      <c r="G445" t="str">
        <f>HYPERLINK("https://www.ncbi.nlm.nih.gov/nucleotide/XM_007878763.1?report=genbank&amp;log$=nucltop&amp;blast_rank=54&amp;RID=0FYY9V8V016","XM_007878763.1")</f>
        <v>XM_007878763.1</v>
      </c>
    </row>
    <row r="446" spans="1:7" x14ac:dyDescent="0.35">
      <c r="A446" s="4" t="s">
        <v>418</v>
      </c>
      <c r="B446" s="4">
        <v>127</v>
      </c>
      <c r="C446" s="4">
        <v>127</v>
      </c>
      <c r="D446" s="5">
        <v>0.4</v>
      </c>
      <c r="E446" s="6">
        <v>2.0000000000000001E-27</v>
      </c>
      <c r="F446" s="4">
        <v>36.200000000000003</v>
      </c>
      <c r="G446" s="4" t="str">
        <f>HYPERLINK("https://www.ncbi.nlm.nih.gov/nucleotide/XM_012194483.1?report=genbank&amp;log$=nucltop&amp;blast_rank=55&amp;RID=0FYY9V8V016","XM_012194483.1")</f>
        <v>XM_012194483.1</v>
      </c>
    </row>
    <row r="447" spans="1:7" x14ac:dyDescent="0.35">
      <c r="A447" t="s">
        <v>433</v>
      </c>
      <c r="B447">
        <v>117</v>
      </c>
      <c r="C447">
        <v>117</v>
      </c>
      <c r="D447" s="2">
        <v>0.4</v>
      </c>
      <c r="E447" s="3">
        <v>3.0000000000000001E-26</v>
      </c>
      <c r="F447">
        <v>35.840000000000003</v>
      </c>
      <c r="G447" t="str">
        <f>HYPERLINK("https://www.ncbi.nlm.nih.gov/nucleotide/XM_025496346.1?report=genbank&amp;log$=nucltop&amp;blast_rank=56&amp;RID=0FYY9V8V016","XM_025496346.1")</f>
        <v>XM_025496346.1</v>
      </c>
    </row>
    <row r="448" spans="1:7" x14ac:dyDescent="0.35">
      <c r="A448" t="s">
        <v>434</v>
      </c>
      <c r="B448">
        <v>119</v>
      </c>
      <c r="C448">
        <v>119</v>
      </c>
      <c r="D448" s="2">
        <v>0.37</v>
      </c>
      <c r="E448" s="3">
        <v>4.9999999999999996E-25</v>
      </c>
      <c r="F448">
        <v>35.64</v>
      </c>
      <c r="G448" t="str">
        <f>HYPERLINK("https://www.ncbi.nlm.nih.gov/nucleotide/XM_014800184.1?report=genbank&amp;log$=nucltop&amp;blast_rank=57&amp;RID=0FYY9V8V016","XM_014800184.1")</f>
        <v>XM_014800184.1</v>
      </c>
    </row>
    <row r="449" spans="1:7" x14ac:dyDescent="0.35">
      <c r="A449" t="s">
        <v>435</v>
      </c>
      <c r="B449">
        <v>132</v>
      </c>
      <c r="C449">
        <v>132</v>
      </c>
      <c r="D449" s="2">
        <v>0.4</v>
      </c>
      <c r="E449" s="3">
        <v>1.9999999999999999E-29</v>
      </c>
      <c r="F449">
        <v>35.590000000000003</v>
      </c>
      <c r="G449" t="str">
        <f>HYPERLINK("https://www.ncbi.nlm.nih.gov/nucleotide/XM_003319999.2?report=genbank&amp;log$=nucltop&amp;blast_rank=58&amp;RID=0FYY9V8V016","XM_003319999.2")</f>
        <v>XM_003319999.2</v>
      </c>
    </row>
    <row r="450" spans="1:7" x14ac:dyDescent="0.35">
      <c r="A450" t="s">
        <v>436</v>
      </c>
      <c r="B450">
        <v>132</v>
      </c>
      <c r="C450">
        <v>132</v>
      </c>
      <c r="D450" s="2">
        <v>0.4</v>
      </c>
      <c r="E450" s="3">
        <v>6.0000000000000005E-29</v>
      </c>
      <c r="F450">
        <v>35.590000000000003</v>
      </c>
      <c r="G450" t="str">
        <f>HYPERLINK("https://www.ncbi.nlm.nih.gov/nucleotide/XM_003337970.2?report=genbank&amp;log$=nucltop&amp;blast_rank=59&amp;RID=0FYY9V8V016","XM_003337970.2")</f>
        <v>XM_003337970.2</v>
      </c>
    </row>
    <row r="451" spans="1:7" x14ac:dyDescent="0.35">
      <c r="A451" t="s">
        <v>425</v>
      </c>
      <c r="B451">
        <v>125</v>
      </c>
      <c r="C451">
        <v>125</v>
      </c>
      <c r="D451" s="2">
        <v>0.4</v>
      </c>
      <c r="E451" s="3">
        <v>1E-26</v>
      </c>
      <c r="F451">
        <v>35.43</v>
      </c>
      <c r="G451" t="str">
        <f>HYPERLINK("https://www.ncbi.nlm.nih.gov/nucleotide/XM_025521609.1?report=genbank&amp;log$=nucltop&amp;blast_rank=60&amp;RID=0FYY9V8V016","XM_025521609.1")</f>
        <v>XM_025521609.1</v>
      </c>
    </row>
    <row r="452" spans="1:7" x14ac:dyDescent="0.35">
      <c r="A452" t="s">
        <v>431</v>
      </c>
      <c r="B452">
        <v>124</v>
      </c>
      <c r="C452">
        <v>124</v>
      </c>
      <c r="D452" s="2">
        <v>0.4</v>
      </c>
      <c r="E452" s="3">
        <v>1E-26</v>
      </c>
      <c r="F452">
        <v>35.270000000000003</v>
      </c>
      <c r="G452" t="str">
        <f>HYPERLINK("https://www.ncbi.nlm.nih.gov/nucleotide/XM_022012622.1?report=genbank&amp;log$=nucltop&amp;blast_rank=61&amp;RID=0FYY9V8V016","XM_022012622.1")</f>
        <v>XM_022012622.1</v>
      </c>
    </row>
    <row r="453" spans="1:7" x14ac:dyDescent="0.35">
      <c r="A453" t="s">
        <v>166</v>
      </c>
      <c r="B453">
        <v>112</v>
      </c>
      <c r="C453">
        <v>112</v>
      </c>
      <c r="D453" s="2">
        <v>0.37</v>
      </c>
      <c r="E453" s="3">
        <v>4.0000000000000002E-22</v>
      </c>
      <c r="F453">
        <v>34.520000000000003</v>
      </c>
      <c r="G453" t="str">
        <f>HYPERLINK("https://www.ncbi.nlm.nih.gov/nucleotide/CP060305.1?report=genbank&amp;log$=nucltop&amp;blast_rank=62&amp;RID=0FYY9V8V016","CP060305.1")</f>
        <v>CP060305.1</v>
      </c>
    </row>
    <row r="454" spans="1:7" x14ac:dyDescent="0.35">
      <c r="A454" t="s">
        <v>437</v>
      </c>
      <c r="B454">
        <v>114</v>
      </c>
      <c r="C454">
        <v>114</v>
      </c>
      <c r="D454" s="2">
        <v>0.4</v>
      </c>
      <c r="E454" s="3">
        <v>9.0000000000000002E-25</v>
      </c>
      <c r="F454">
        <v>34.08</v>
      </c>
      <c r="G454" t="str">
        <f>HYPERLINK("https://www.ncbi.nlm.nih.gov/nucleotide/XM_028624687.1?report=genbank&amp;log$=nucltop&amp;blast_rank=63&amp;RID=0FYY9V8V016","XM_028624687.1")</f>
        <v>XM_028624687.1</v>
      </c>
    </row>
    <row r="455" spans="1:7" x14ac:dyDescent="0.35">
      <c r="A455" t="s">
        <v>439</v>
      </c>
      <c r="B455">
        <v>123</v>
      </c>
      <c r="C455">
        <v>123</v>
      </c>
      <c r="D455" s="2">
        <v>0.4</v>
      </c>
      <c r="E455" s="3">
        <v>1E-26</v>
      </c>
      <c r="F455">
        <v>33.93</v>
      </c>
      <c r="G455" t="str">
        <f>HYPERLINK("https://www.ncbi.nlm.nih.gov/nucleotide/XM_016417699.1?report=genbank&amp;log$=nucltop&amp;blast_rank=64&amp;RID=0FYY9V8V016","XM_016417699.1")</f>
        <v>XM_016417699.1</v>
      </c>
    </row>
    <row r="456" spans="1:7" x14ac:dyDescent="0.35">
      <c r="A456" t="s">
        <v>440</v>
      </c>
      <c r="B456">
        <v>122</v>
      </c>
      <c r="C456">
        <v>122</v>
      </c>
      <c r="D456" s="2">
        <v>0.41</v>
      </c>
      <c r="E456" s="3">
        <v>5.0000000000000002E-26</v>
      </c>
      <c r="F456">
        <v>33.33</v>
      </c>
      <c r="G456" t="str">
        <f>HYPERLINK("https://www.ncbi.nlm.nih.gov/nucleotide/XM_007411685.1?report=genbank&amp;log$=nucltop&amp;blast_rank=65&amp;RID=0FYY9V8V016","XM_007411685.1")</f>
        <v>XM_007411685.1</v>
      </c>
    </row>
    <row r="457" spans="1:7" x14ac:dyDescent="0.35">
      <c r="A457" t="s">
        <v>326</v>
      </c>
      <c r="B457">
        <v>114</v>
      </c>
      <c r="C457">
        <v>114</v>
      </c>
      <c r="D457" s="2">
        <v>0.39</v>
      </c>
      <c r="E457" s="3">
        <v>3E-23</v>
      </c>
      <c r="F457">
        <v>33.18</v>
      </c>
      <c r="G457" t="str">
        <f>HYPERLINK("https://www.ncbi.nlm.nih.gov/nucleotide/XM_014715922.1?report=genbank&amp;log$=nucltop&amp;blast_rank=66&amp;RID=0FYY9V8V016","XM_014715922.1")</f>
        <v>XM_014715922.1</v>
      </c>
    </row>
    <row r="458" spans="1:7" x14ac:dyDescent="0.35">
      <c r="A458" t="s">
        <v>441</v>
      </c>
      <c r="B458">
        <v>102</v>
      </c>
      <c r="C458">
        <v>102</v>
      </c>
      <c r="D458" s="2">
        <v>0.39</v>
      </c>
      <c r="E458" s="3">
        <v>2E-19</v>
      </c>
      <c r="F458">
        <v>32.700000000000003</v>
      </c>
      <c r="G458" t="str">
        <f>HYPERLINK("https://www.ncbi.nlm.nih.gov/nucleotide/XM_025745181.1?report=genbank&amp;log$=nucltop&amp;blast_rank=67&amp;RID=0FYY9V8V016","XM_025745181.1")</f>
        <v>XM_025745181.1</v>
      </c>
    </row>
    <row r="459" spans="1:7" x14ac:dyDescent="0.35">
      <c r="A459" t="s">
        <v>438</v>
      </c>
      <c r="B459">
        <v>107</v>
      </c>
      <c r="C459">
        <v>107</v>
      </c>
      <c r="D459" s="2">
        <v>0.4</v>
      </c>
      <c r="E459" s="3">
        <v>3.9999999999999996E-21</v>
      </c>
      <c r="F459">
        <v>32.31</v>
      </c>
      <c r="G459" t="str">
        <f>HYPERLINK("https://www.ncbi.nlm.nih.gov/nucleotide/XM_025493523.1?report=genbank&amp;log$=nucltop&amp;blast_rank=68&amp;RID=0FYY9V8V016","XM_025493523.1")</f>
        <v>XM_025493523.1</v>
      </c>
    </row>
    <row r="460" spans="1:7" x14ac:dyDescent="0.35">
      <c r="A460" t="s">
        <v>442</v>
      </c>
      <c r="B460">
        <v>112</v>
      </c>
      <c r="C460">
        <v>112</v>
      </c>
      <c r="D460" s="2">
        <v>0.4</v>
      </c>
      <c r="E460" s="3">
        <v>2.0000000000000001E-22</v>
      </c>
      <c r="F460">
        <v>31.17</v>
      </c>
      <c r="G460" t="str">
        <f>HYPERLINK("https://www.ncbi.nlm.nih.gov/nucleotide/XM_025513131.1?report=genbank&amp;log$=nucltop&amp;blast_rank=69&amp;RID=0FYY9V8V016","XM_025513131.1")</f>
        <v>XM_025513131.1</v>
      </c>
    </row>
    <row r="461" spans="1:7" x14ac:dyDescent="0.35">
      <c r="A461" t="s">
        <v>444</v>
      </c>
      <c r="B461">
        <v>113</v>
      </c>
      <c r="C461">
        <v>113</v>
      </c>
      <c r="D461" s="2">
        <v>0.4</v>
      </c>
      <c r="E461" s="3">
        <v>7.9999999999999997E-23</v>
      </c>
      <c r="F461">
        <v>31.16</v>
      </c>
      <c r="G461" t="str">
        <f>HYPERLINK("https://www.ncbi.nlm.nih.gov/nucleotide/XM_018369006.1?report=genbank&amp;log$=nucltop&amp;blast_rank=70&amp;RID=0FYY9V8V016","XM_018369006.1")</f>
        <v>XM_018369006.1</v>
      </c>
    </row>
    <row r="462" spans="1:7" x14ac:dyDescent="0.35">
      <c r="A462" t="s">
        <v>443</v>
      </c>
      <c r="B462">
        <v>115</v>
      </c>
      <c r="C462">
        <v>115</v>
      </c>
      <c r="D462" s="2">
        <v>0.4</v>
      </c>
      <c r="E462" s="3">
        <v>3E-23</v>
      </c>
      <c r="F462">
        <v>30.7</v>
      </c>
      <c r="G462" t="str">
        <f>HYPERLINK("https://www.ncbi.nlm.nih.gov/nucleotide/XM_007874156.1?report=genbank&amp;log$=nucltop&amp;blast_rank=71&amp;RID=0FYY9V8V016","XM_007874156.1")</f>
        <v>XM_007874156.1</v>
      </c>
    </row>
    <row r="463" spans="1:7" x14ac:dyDescent="0.35">
      <c r="A463" t="s">
        <v>454</v>
      </c>
      <c r="B463">
        <v>104</v>
      </c>
      <c r="C463">
        <v>104</v>
      </c>
      <c r="D463" s="2">
        <v>0.41</v>
      </c>
      <c r="E463" s="3">
        <v>7.0000000000000001E-20</v>
      </c>
      <c r="F463">
        <v>29.78</v>
      </c>
      <c r="G463" t="str">
        <f>HYPERLINK("https://www.ncbi.nlm.nih.gov/nucleotide/XM_025319938.1?report=genbank&amp;log$=nucltop&amp;blast_rank=72&amp;RID=0FYY9V8V016","XM_025319938.1")</f>
        <v>XM_025319938.1</v>
      </c>
    </row>
    <row r="464" spans="1:7" x14ac:dyDescent="0.35">
      <c r="A464" t="s">
        <v>445</v>
      </c>
      <c r="B464">
        <v>105</v>
      </c>
      <c r="C464">
        <v>105</v>
      </c>
      <c r="D464" s="2">
        <v>0.4</v>
      </c>
      <c r="E464" s="3">
        <v>3.0000000000000003E-20</v>
      </c>
      <c r="F464">
        <v>29.73</v>
      </c>
      <c r="G464" t="str">
        <f>HYPERLINK("https://www.ncbi.nlm.nih.gov/nucleotide/XM_022027061.1?report=genbank&amp;log$=nucltop&amp;blast_rank=73&amp;RID=0FYY9V8V016","XM_022027061.1")</f>
        <v>XM_022027061.1</v>
      </c>
    </row>
    <row r="465" spans="1:7" x14ac:dyDescent="0.35">
      <c r="A465" t="s">
        <v>446</v>
      </c>
      <c r="B465">
        <v>87.8</v>
      </c>
      <c r="C465">
        <v>87.8</v>
      </c>
      <c r="D465" s="2">
        <v>0.4</v>
      </c>
      <c r="E465" s="3">
        <v>2.9999999999999998E-14</v>
      </c>
      <c r="F465">
        <v>27.65</v>
      </c>
      <c r="G465" t="str">
        <f>HYPERLINK("https://www.ncbi.nlm.nih.gov/nucleotide/XM_031999984.1?report=genbank&amp;log$=nucltop&amp;blast_rank=74&amp;RID=0FYY9V8V016","XM_031999984.1")</f>
        <v>XM_031999984.1</v>
      </c>
    </row>
    <row r="466" spans="1:7" x14ac:dyDescent="0.35">
      <c r="A466" t="s">
        <v>455</v>
      </c>
      <c r="B466">
        <v>81.3</v>
      </c>
      <c r="C466">
        <v>81.3</v>
      </c>
      <c r="D466" s="2">
        <v>0.4</v>
      </c>
      <c r="E466" s="3">
        <v>3.9999999999999999E-12</v>
      </c>
      <c r="F466">
        <v>27.03</v>
      </c>
      <c r="G466" t="str">
        <f>HYPERLINK("https://www.ncbi.nlm.nih.gov/nucleotide/XM_018882581.1?report=genbank&amp;log$=nucltop&amp;blast_rank=75&amp;RID=0FYY9V8V016","XM_018882581.1")</f>
        <v>XM_018882581.1</v>
      </c>
    </row>
    <row r="467" spans="1:7" x14ac:dyDescent="0.35">
      <c r="A467" t="s">
        <v>458</v>
      </c>
      <c r="B467">
        <v>85.5</v>
      </c>
      <c r="C467">
        <v>85.5</v>
      </c>
      <c r="D467" s="2">
        <v>0.4</v>
      </c>
      <c r="E467" s="3">
        <v>1E-13</v>
      </c>
      <c r="F467">
        <v>26.42</v>
      </c>
      <c r="G467" t="str">
        <f>HYPERLINK("https://www.ncbi.nlm.nih.gov/nucleotide/XM_007373298.1?report=genbank&amp;log$=nucltop&amp;blast_rank=76&amp;RID=0FYY9V8V016","XM_007373298.1")</f>
        <v>XM_007373298.1</v>
      </c>
    </row>
    <row r="468" spans="1:7" x14ac:dyDescent="0.35">
      <c r="A468" t="s">
        <v>456</v>
      </c>
      <c r="B468">
        <v>84</v>
      </c>
      <c r="C468">
        <v>84</v>
      </c>
      <c r="D468" s="2">
        <v>0.39</v>
      </c>
      <c r="E468" s="3">
        <v>4.0000000000000001E-13</v>
      </c>
      <c r="F468">
        <v>26.19</v>
      </c>
      <c r="G468" t="str">
        <f>HYPERLINK("https://www.ncbi.nlm.nih.gov/nucleotide/XM_024858447.1?report=genbank&amp;log$=nucltop&amp;blast_rank=77&amp;RID=0FYY9V8V016","XM_024858447.1")</f>
        <v>XM_024858447.1</v>
      </c>
    </row>
    <row r="469" spans="1:7" x14ac:dyDescent="0.35">
      <c r="A469" t="s">
        <v>457</v>
      </c>
      <c r="B469">
        <v>84.3</v>
      </c>
      <c r="C469">
        <v>84.3</v>
      </c>
      <c r="D469" s="2">
        <v>0.39</v>
      </c>
      <c r="E469" s="3">
        <v>2.9999999999999998E-13</v>
      </c>
      <c r="F469">
        <v>26.17</v>
      </c>
      <c r="G469" t="str">
        <f>HYPERLINK("https://www.ncbi.nlm.nih.gov/nucleotide/XM_025480965.1?report=genbank&amp;log$=nucltop&amp;blast_rank=78&amp;RID=0FYY9V8V016","XM_025480965.1")</f>
        <v>XM_025480965.1</v>
      </c>
    </row>
    <row r="470" spans="1:7" x14ac:dyDescent="0.35">
      <c r="A470" t="s">
        <v>746</v>
      </c>
      <c r="B470">
        <v>81.3</v>
      </c>
      <c r="C470">
        <v>81.3</v>
      </c>
      <c r="D470" s="2">
        <v>0.39</v>
      </c>
      <c r="E470" s="3">
        <v>3.0000000000000001E-12</v>
      </c>
      <c r="F470">
        <v>26.07</v>
      </c>
      <c r="G470" t="str">
        <f>HYPERLINK("https://www.ncbi.nlm.nih.gov/nucleotide/XM_501207.2?report=genbank&amp;log$=nucltop&amp;blast_rank=79&amp;RID=0FYY9V8V016","XM_501207.2")</f>
        <v>XM_501207.2</v>
      </c>
    </row>
    <row r="471" spans="1:7" x14ac:dyDescent="0.35">
      <c r="A471" t="s">
        <v>747</v>
      </c>
      <c r="B471">
        <v>81.599999999999994</v>
      </c>
      <c r="C471">
        <v>81.599999999999994</v>
      </c>
      <c r="D471" s="2">
        <v>0.39</v>
      </c>
      <c r="E471" s="3">
        <v>4.9999999999999997E-12</v>
      </c>
      <c r="F471">
        <v>26.07</v>
      </c>
      <c r="G471" t="str">
        <f>HYPERLINK("https://www.ncbi.nlm.nih.gov/nucleotide/CP028443.1?report=genbank&amp;log$=nucltop&amp;blast_rank=80&amp;RID=0FYY9V8V016","CP028443.1")</f>
        <v>CP028443.1</v>
      </c>
    </row>
    <row r="472" spans="1:7" x14ac:dyDescent="0.35">
      <c r="A472" t="s">
        <v>748</v>
      </c>
      <c r="B472">
        <v>81.599999999999994</v>
      </c>
      <c r="C472">
        <v>81.599999999999994</v>
      </c>
      <c r="D472" s="2">
        <v>0.39</v>
      </c>
      <c r="E472" s="3">
        <v>4.9999999999999997E-12</v>
      </c>
      <c r="F472">
        <v>26.07</v>
      </c>
      <c r="G472" t="str">
        <f>HYPERLINK("https://www.ncbi.nlm.nih.gov/nucleotide/CP028455.1?report=genbank&amp;log$=nucltop&amp;blast_rank=81&amp;RID=0FYY9V8V016","CP028455.1")</f>
        <v>CP028455.1</v>
      </c>
    </row>
    <row r="473" spans="1:7" x14ac:dyDescent="0.35">
      <c r="A473" t="s">
        <v>749</v>
      </c>
      <c r="B473">
        <v>81.599999999999994</v>
      </c>
      <c r="C473">
        <v>81.599999999999994</v>
      </c>
      <c r="D473" s="2">
        <v>0.39</v>
      </c>
      <c r="E473" s="3">
        <v>4.9999999999999997E-12</v>
      </c>
      <c r="F473">
        <v>26.07</v>
      </c>
      <c r="G473" t="str">
        <f>HYPERLINK("https://www.ncbi.nlm.nih.gov/nucleotide/HG934060.1?report=genbank&amp;log$=nucltop&amp;blast_rank=82&amp;RID=0FYY9V8V016","HG934060.1")</f>
        <v>HG934060.1</v>
      </c>
    </row>
    <row r="474" spans="1:7" x14ac:dyDescent="0.35">
      <c r="A474" t="s">
        <v>750</v>
      </c>
      <c r="B474">
        <v>81.599999999999994</v>
      </c>
      <c r="C474">
        <v>81.599999999999994</v>
      </c>
      <c r="D474" s="2">
        <v>0.39</v>
      </c>
      <c r="E474" s="3">
        <v>4.9999999999999997E-12</v>
      </c>
      <c r="F474">
        <v>26.07</v>
      </c>
      <c r="G474" t="str">
        <f>HYPERLINK("https://www.ncbi.nlm.nih.gov/nucleotide/CP028449.1?report=genbank&amp;log$=nucltop&amp;blast_rank=83&amp;RID=0FYY9V8V016","CP028449.1")</f>
        <v>CP028449.1</v>
      </c>
    </row>
    <row r="475" spans="1:7" x14ac:dyDescent="0.35">
      <c r="A475" t="s">
        <v>751</v>
      </c>
      <c r="B475">
        <v>81.599999999999994</v>
      </c>
      <c r="C475">
        <v>81.599999999999994</v>
      </c>
      <c r="D475" s="2">
        <v>0.39</v>
      </c>
      <c r="E475" s="3">
        <v>4.9999999999999997E-12</v>
      </c>
      <c r="F475">
        <v>26.07</v>
      </c>
      <c r="G475" t="str">
        <f>HYPERLINK("https://www.ncbi.nlm.nih.gov/nucleotide/CP017554.1?report=genbank&amp;log$=nucltop&amp;blast_rank=84&amp;RID=0FYY9V8V016","CP017554.1")</f>
        <v>CP017554.1</v>
      </c>
    </row>
    <row r="476" spans="1:7" x14ac:dyDescent="0.35">
      <c r="A476" t="s">
        <v>752</v>
      </c>
      <c r="B476">
        <v>81.599999999999994</v>
      </c>
      <c r="C476">
        <v>81.599999999999994</v>
      </c>
      <c r="D476" s="2">
        <v>0.39</v>
      </c>
      <c r="E476" s="3">
        <v>4.9999999999999997E-12</v>
      </c>
      <c r="F476">
        <v>26.07</v>
      </c>
      <c r="G476" t="str">
        <f>HYPERLINK("https://www.ncbi.nlm.nih.gov/nucleotide/CR382128.1?report=genbank&amp;log$=nucltop&amp;blast_rank=85&amp;RID=0FYY9V8V016","CR382128.1")</f>
        <v>CR382128.1</v>
      </c>
    </row>
    <row r="477" spans="1:7" x14ac:dyDescent="0.35">
      <c r="A477" t="s">
        <v>753</v>
      </c>
      <c r="B477">
        <v>81.599999999999994</v>
      </c>
      <c r="C477">
        <v>81.599999999999994</v>
      </c>
      <c r="D477" s="2">
        <v>0.39</v>
      </c>
      <c r="E477" s="3">
        <v>4.9999999999999997E-12</v>
      </c>
      <c r="F477">
        <v>26.07</v>
      </c>
      <c r="G477" t="str">
        <f>HYPERLINK("https://www.ncbi.nlm.nih.gov/nucleotide/CP061014.1?report=genbank&amp;log$=nucltop&amp;blast_rank=86&amp;RID=0FYY9V8V016","CP061014.1")</f>
        <v>CP061014.1</v>
      </c>
    </row>
    <row r="478" spans="1:7" x14ac:dyDescent="0.35">
      <c r="A478" t="s">
        <v>459</v>
      </c>
      <c r="B478">
        <v>82.4</v>
      </c>
      <c r="C478">
        <v>82.4</v>
      </c>
      <c r="D478" s="2">
        <v>0.39</v>
      </c>
      <c r="E478" s="3">
        <v>9.9999999999999998E-13</v>
      </c>
      <c r="F478">
        <v>25.7</v>
      </c>
      <c r="G478" t="str">
        <f>HYPERLINK("https://www.ncbi.nlm.nih.gov/nucleotide/XM_025485127.1?report=genbank&amp;log$=nucltop&amp;blast_rank=87&amp;RID=0FYY9V8V016","XM_025485127.1")</f>
        <v>XM_025485127.1</v>
      </c>
    </row>
    <row r="479" spans="1:7" x14ac:dyDescent="0.35">
      <c r="A479" s="4" t="s">
        <v>447</v>
      </c>
      <c r="B479" s="4">
        <v>82</v>
      </c>
      <c r="C479" s="4">
        <v>82</v>
      </c>
      <c r="D479" s="5">
        <v>0.39</v>
      </c>
      <c r="E479" s="6">
        <v>2E-12</v>
      </c>
      <c r="F479" s="4">
        <v>25.7</v>
      </c>
      <c r="G479" s="4" t="str">
        <f>HYPERLINK("https://www.ncbi.nlm.nih.gov/nucleotide/XM_706207.2?report=genbank&amp;log$=nucltop&amp;blast_rank=88&amp;RID=0FYY9V8V016","XM_706207.2")</f>
        <v>XM_706207.2</v>
      </c>
    </row>
    <row r="480" spans="1:7" x14ac:dyDescent="0.35">
      <c r="A480" t="s">
        <v>754</v>
      </c>
      <c r="B480">
        <v>80.5</v>
      </c>
      <c r="C480">
        <v>80.5</v>
      </c>
      <c r="D480" s="2">
        <v>0.39</v>
      </c>
      <c r="E480" s="3">
        <v>4.9999999999999997E-12</v>
      </c>
      <c r="F480">
        <v>25.7</v>
      </c>
      <c r="G480" t="str">
        <f>HYPERLINK("https://www.ncbi.nlm.nih.gov/nucleotide/XM_029032634.1?report=genbank&amp;log$=nucltop&amp;blast_rank=89&amp;RID=0FYY9V8V016","XM_029032634.1")</f>
        <v>XM_029032634.1</v>
      </c>
    </row>
    <row r="481" spans="1:7" x14ac:dyDescent="0.35">
      <c r="A481" t="s">
        <v>462</v>
      </c>
      <c r="B481">
        <v>82.8</v>
      </c>
      <c r="C481">
        <v>82.8</v>
      </c>
      <c r="D481" s="2">
        <v>0.4</v>
      </c>
      <c r="E481" s="3">
        <v>2E-12</v>
      </c>
      <c r="F481">
        <v>25.57</v>
      </c>
      <c r="G481" t="str">
        <f>HYPERLINK("https://www.ncbi.nlm.nih.gov/nucleotide/CP050654.1?report=genbank&amp;log$=nucltop&amp;blast_rank=90&amp;RID=0FYY9V8V016","CP050654.1")</f>
        <v>CP050654.1</v>
      </c>
    </row>
    <row r="482" spans="1:7" x14ac:dyDescent="0.35">
      <c r="A482" t="s">
        <v>463</v>
      </c>
      <c r="B482">
        <v>82.8</v>
      </c>
      <c r="C482">
        <v>82.8</v>
      </c>
      <c r="D482" s="2">
        <v>0.4</v>
      </c>
      <c r="E482" s="3">
        <v>2E-12</v>
      </c>
      <c r="F482">
        <v>25.57</v>
      </c>
      <c r="G482" t="str">
        <f>HYPERLINK("https://www.ncbi.nlm.nih.gov/nucleotide/CP050668.1?report=genbank&amp;log$=nucltop&amp;blast_rank=91&amp;RID=0FYY9V8V016","CP050668.1")</f>
        <v>CP050668.1</v>
      </c>
    </row>
    <row r="483" spans="1:7" x14ac:dyDescent="0.35">
      <c r="A483" t="s">
        <v>464</v>
      </c>
      <c r="B483">
        <v>82.8</v>
      </c>
      <c r="C483">
        <v>82.8</v>
      </c>
      <c r="D483" s="2">
        <v>0.4</v>
      </c>
      <c r="E483" s="3">
        <v>2E-12</v>
      </c>
      <c r="F483">
        <v>25.57</v>
      </c>
      <c r="G483" t="str">
        <f>HYPERLINK("https://www.ncbi.nlm.nih.gov/nucleotide/CP043443.1?report=genbank&amp;log$=nucltop&amp;blast_rank=92&amp;RID=0FYY9V8V016","CP043443.1")</f>
        <v>CP043443.1</v>
      </c>
    </row>
    <row r="484" spans="1:7" x14ac:dyDescent="0.35">
      <c r="A484" t="s">
        <v>465</v>
      </c>
      <c r="B484">
        <v>82.8</v>
      </c>
      <c r="C484">
        <v>82.8</v>
      </c>
      <c r="D484" s="2">
        <v>0.4</v>
      </c>
      <c r="E484" s="3">
        <v>2E-12</v>
      </c>
      <c r="F484">
        <v>25.57</v>
      </c>
      <c r="G484" t="str">
        <f>HYPERLINK("https://www.ncbi.nlm.nih.gov/nucleotide/CP041136.1?report=genbank&amp;log$=nucltop&amp;blast_rank=93&amp;RID=0FYY9V8V016","CP041136.1")</f>
        <v>CP041136.1</v>
      </c>
    </row>
    <row r="485" spans="1:7" x14ac:dyDescent="0.35">
      <c r="A485" t="s">
        <v>466</v>
      </c>
      <c r="B485">
        <v>82.8</v>
      </c>
      <c r="C485">
        <v>82.8</v>
      </c>
      <c r="D485" s="2">
        <v>0.4</v>
      </c>
      <c r="E485" s="3">
        <v>2E-12</v>
      </c>
      <c r="F485">
        <v>25.57</v>
      </c>
      <c r="G485" t="str">
        <f>HYPERLINK("https://www.ncbi.nlm.nih.gov/nucleotide/CP061160.1?report=genbank&amp;log$=nucltop&amp;blast_rank=94&amp;RID=0FYY9V8V016","CP061160.1")</f>
        <v>CP061160.1</v>
      </c>
    </row>
    <row r="486" spans="1:7" x14ac:dyDescent="0.35">
      <c r="A486" t="s">
        <v>469</v>
      </c>
      <c r="B486">
        <v>82.4</v>
      </c>
      <c r="C486">
        <v>82.4</v>
      </c>
      <c r="D486" s="2">
        <v>0.39</v>
      </c>
      <c r="E486" s="3">
        <v>9.9999999999999998E-13</v>
      </c>
      <c r="F486">
        <v>25.23</v>
      </c>
      <c r="G486" t="str">
        <f>HYPERLINK("https://www.ncbi.nlm.nih.gov/nucleotide/XM_036811872.1?report=genbank&amp;log$=nucltop&amp;blast_rank=95&amp;RID=0FYY9V8V016","XM_036811872.1")</f>
        <v>XM_036811872.1</v>
      </c>
    </row>
    <row r="487" spans="1:7" x14ac:dyDescent="0.35">
      <c r="A487" t="s">
        <v>468</v>
      </c>
      <c r="B487">
        <v>82.4</v>
      </c>
      <c r="C487">
        <v>82.4</v>
      </c>
      <c r="D487" s="2">
        <v>0.39</v>
      </c>
      <c r="E487" s="3">
        <v>9.9999999999999998E-13</v>
      </c>
      <c r="F487">
        <v>25.23</v>
      </c>
      <c r="G487" t="str">
        <f>HYPERLINK("https://www.ncbi.nlm.nih.gov/nucleotide/XM_003870891.1?report=genbank&amp;log$=nucltop&amp;blast_rank=96&amp;RID=0FYY9V8V016","XM_003870891.1")</f>
        <v>XM_003870891.1</v>
      </c>
    </row>
    <row r="488" spans="1:7" x14ac:dyDescent="0.35">
      <c r="A488" t="s">
        <v>470</v>
      </c>
      <c r="B488">
        <v>82.4</v>
      </c>
      <c r="C488">
        <v>82.4</v>
      </c>
      <c r="D488" s="2">
        <v>0.39</v>
      </c>
      <c r="E488" s="3">
        <v>3.0000000000000001E-12</v>
      </c>
      <c r="F488">
        <v>25.23</v>
      </c>
      <c r="G488" t="str">
        <f>HYPERLINK("https://www.ncbi.nlm.nih.gov/nucleotide/HE605209.1?report=genbank&amp;log$=nucltop&amp;blast_rank=97&amp;RID=0FYY9V8V016","HE605209.1")</f>
        <v>HE605209.1</v>
      </c>
    </row>
    <row r="489" spans="1:7" x14ac:dyDescent="0.35">
      <c r="A489" t="s">
        <v>471</v>
      </c>
      <c r="B489">
        <v>82.8</v>
      </c>
      <c r="C489">
        <v>82.8</v>
      </c>
      <c r="D489" s="2">
        <v>0.4</v>
      </c>
      <c r="E489" s="3">
        <v>2E-12</v>
      </c>
      <c r="F489">
        <v>25.23</v>
      </c>
      <c r="G489" t="str">
        <f>HYPERLINK("https://www.ncbi.nlm.nih.gov/nucleotide/HE681725.1?report=genbank&amp;log$=nucltop&amp;blast_rank=98&amp;RID=0FYY9V8V016","HE681725.1")</f>
        <v>HE681725.1</v>
      </c>
    </row>
    <row r="490" spans="1:7" x14ac:dyDescent="0.35">
      <c r="A490" t="s">
        <v>467</v>
      </c>
      <c r="B490">
        <v>82</v>
      </c>
      <c r="C490">
        <v>82</v>
      </c>
      <c r="D490" s="2">
        <v>0.4</v>
      </c>
      <c r="E490" s="3">
        <v>3.9999999999999999E-12</v>
      </c>
      <c r="F490">
        <v>25</v>
      </c>
      <c r="G490" t="str">
        <f>HYPERLINK("https://www.ncbi.nlm.nih.gov/nucleotide/LT635764.1?report=genbank&amp;log$=nucltop&amp;blast_rank=99&amp;RID=0FYY9V8V016","LT635764.1")</f>
        <v>LT635764.1</v>
      </c>
    </row>
    <row r="491" spans="1:7" x14ac:dyDescent="0.35">
      <c r="A491" s="4" t="s">
        <v>755</v>
      </c>
      <c r="B491" s="4">
        <v>82.4</v>
      </c>
      <c r="C491" s="4">
        <v>82.4</v>
      </c>
      <c r="D491" s="5">
        <v>0.4</v>
      </c>
      <c r="E491" s="6">
        <v>9.9999999999999998E-13</v>
      </c>
      <c r="F491" s="4">
        <v>24.07</v>
      </c>
      <c r="G491" s="4" t="str">
        <f>HYPERLINK("https://www.ncbi.nlm.nih.gov/nucleotide/XM_020209351.1?report=genbank&amp;log$=nucltop&amp;blast_rank=100&amp;RID=0FYY9V8V016","XM_020209351.1")</f>
        <v>XM_020209351.1</v>
      </c>
    </row>
    <row r="492" spans="1:7" x14ac:dyDescent="0.35">
      <c r="A492" s="1" t="s">
        <v>769</v>
      </c>
    </row>
    <row r="493" spans="1:7" x14ac:dyDescent="0.35">
      <c r="A493" s="1" t="s">
        <v>2</v>
      </c>
      <c r="B493" s="1" t="s">
        <v>3</v>
      </c>
      <c r="C493" s="1" t="s">
        <v>4</v>
      </c>
      <c r="D493" s="1" t="s">
        <v>5</v>
      </c>
      <c r="E493" s="1" t="s">
        <v>6</v>
      </c>
      <c r="F493" s="1" t="s">
        <v>7</v>
      </c>
      <c r="G493" s="1" t="s">
        <v>8</v>
      </c>
    </row>
    <row r="494" spans="1:7" x14ac:dyDescent="0.35">
      <c r="A494" t="s">
        <v>120</v>
      </c>
      <c r="B494">
        <v>814</v>
      </c>
      <c r="C494">
        <v>814</v>
      </c>
      <c r="D494" s="2">
        <v>0.88</v>
      </c>
      <c r="E494">
        <v>0</v>
      </c>
      <c r="F494">
        <v>62.58</v>
      </c>
      <c r="G494" t="str">
        <f>HYPERLINK("https://www.ncbi.nlm.nih.gov/nucleotide/XM_012324393.1?report=genbank&amp;log$=nucltop&amp;blast_rank=1&amp;RID=0FZ03ECE016","XM_012324393.1")</f>
        <v>XM_012324393.1</v>
      </c>
    </row>
    <row r="495" spans="1:7" x14ac:dyDescent="0.35">
      <c r="A495" t="s">
        <v>288</v>
      </c>
      <c r="B495">
        <v>816</v>
      </c>
      <c r="C495">
        <v>816</v>
      </c>
      <c r="D495" s="2">
        <v>0.88</v>
      </c>
      <c r="E495">
        <v>0</v>
      </c>
      <c r="F495">
        <v>61.36</v>
      </c>
      <c r="G495" t="str">
        <f>HYPERLINK("https://www.ncbi.nlm.nih.gov/nucleotide/XM_036770581.1?report=genbank&amp;log$=nucltop&amp;blast_rank=2&amp;RID=0FZ03ECE016","XM_036770581.1")</f>
        <v>XM_036770581.1</v>
      </c>
    </row>
    <row r="496" spans="1:7" x14ac:dyDescent="0.35">
      <c r="A496" t="s">
        <v>21</v>
      </c>
      <c r="B496">
        <v>795</v>
      </c>
      <c r="C496">
        <v>795</v>
      </c>
      <c r="D496" s="2">
        <v>0.88</v>
      </c>
      <c r="E496">
        <v>0</v>
      </c>
      <c r="F496">
        <v>60.72</v>
      </c>
      <c r="G496" t="str">
        <f>HYPERLINK("https://www.ncbi.nlm.nih.gov/nucleotide/XM_009544599.1?report=genbank&amp;log$=nucltop&amp;blast_rank=3&amp;RID=0FZ03ECE016","XM_009544599.1")</f>
        <v>XM_009544599.1</v>
      </c>
    </row>
    <row r="497" spans="1:7" x14ac:dyDescent="0.35">
      <c r="A497" s="4" t="s">
        <v>285</v>
      </c>
      <c r="B497" s="4">
        <v>799</v>
      </c>
      <c r="C497" s="4">
        <v>799</v>
      </c>
      <c r="D497" s="5">
        <v>0.88</v>
      </c>
      <c r="E497" s="4">
        <v>0</v>
      </c>
      <c r="F497" s="4">
        <v>60.66</v>
      </c>
      <c r="G497" s="4" t="str">
        <f>HYPERLINK("https://www.ncbi.nlm.nih.gov/nucleotide/XM_007301254.1?report=genbank&amp;log$=nucltop&amp;blast_rank=4&amp;RID=0FZ03ECE016","XM_007301254.1")</f>
        <v>XM_007301254.1</v>
      </c>
    </row>
    <row r="498" spans="1:7" x14ac:dyDescent="0.35">
      <c r="A498" s="4" t="s">
        <v>289</v>
      </c>
      <c r="B498" s="4">
        <v>796</v>
      </c>
      <c r="C498" s="4">
        <v>796</v>
      </c>
      <c r="D498" s="5">
        <v>0.87</v>
      </c>
      <c r="E498" s="4">
        <v>0</v>
      </c>
      <c r="F498" s="4">
        <v>60.25</v>
      </c>
      <c r="G498" s="4" t="str">
        <f>HYPERLINK("https://www.ncbi.nlm.nih.gov/nucleotide/XM_027764248.1?report=genbank&amp;log$=nucltop&amp;blast_rank=5&amp;RID=0FZ03ECE016","XM_027764248.1")</f>
        <v>XM_027764248.1</v>
      </c>
    </row>
    <row r="499" spans="1:7" x14ac:dyDescent="0.35">
      <c r="A499" s="4" t="s">
        <v>286</v>
      </c>
      <c r="B499" s="4">
        <v>752</v>
      </c>
      <c r="C499" s="4">
        <v>752</v>
      </c>
      <c r="D499" s="5">
        <v>0.88</v>
      </c>
      <c r="E499" s="4">
        <v>0</v>
      </c>
      <c r="F499" s="4">
        <v>59.75</v>
      </c>
      <c r="G499" s="4" t="str">
        <f>HYPERLINK("https://www.ncbi.nlm.nih.gov/nucleotide/LR727269.1?report=genbank&amp;log$=nucltop&amp;blast_rank=6&amp;RID=0FZ03ECE016","LR727269.1")</f>
        <v>LR727269.1</v>
      </c>
    </row>
    <row r="500" spans="1:7" x14ac:dyDescent="0.35">
      <c r="A500" s="4" t="s">
        <v>287</v>
      </c>
      <c r="B500" s="4">
        <v>792</v>
      </c>
      <c r="C500" s="4">
        <v>792</v>
      </c>
      <c r="D500" s="5">
        <v>0.88</v>
      </c>
      <c r="E500" s="4">
        <v>0</v>
      </c>
      <c r="F500" s="4">
        <v>58.71</v>
      </c>
      <c r="G500" s="4" t="str">
        <f>HYPERLINK("https://www.ncbi.nlm.nih.gov/nucleotide/XM_007305059.1?report=genbank&amp;log$=nucltop&amp;blast_rank=7&amp;RID=0FZ03ECE016","XM_007305059.1")</f>
        <v>XM_007305059.1</v>
      </c>
    </row>
    <row r="501" spans="1:7" x14ac:dyDescent="0.35">
      <c r="A501" s="4" t="s">
        <v>290</v>
      </c>
      <c r="B501" s="4">
        <v>851</v>
      </c>
      <c r="C501" s="4">
        <v>851</v>
      </c>
      <c r="D501" s="5">
        <v>0.99</v>
      </c>
      <c r="E501" s="4">
        <v>0</v>
      </c>
      <c r="F501" s="4">
        <v>57.9</v>
      </c>
      <c r="G501" s="4" t="str">
        <f>HYPERLINK("https://www.ncbi.nlm.nih.gov/nucleotide/XM_027756926.1?report=genbank&amp;log$=nucltop&amp;blast_rank=8&amp;RID=0FZ03ECE016","XM_027756926.1")</f>
        <v>XM_027756926.1</v>
      </c>
    </row>
    <row r="502" spans="1:7" x14ac:dyDescent="0.35">
      <c r="A502" s="4" t="s">
        <v>294</v>
      </c>
      <c r="B502" s="4">
        <v>822</v>
      </c>
      <c r="C502" s="4">
        <v>822</v>
      </c>
      <c r="D502" s="5">
        <v>0.99</v>
      </c>
      <c r="E502" s="4">
        <v>0</v>
      </c>
      <c r="F502" s="4">
        <v>56.61</v>
      </c>
      <c r="G502" s="4" t="str">
        <f>HYPERLINK("https://www.ncbi.nlm.nih.gov/nucleotide/XM_007864801.1?report=genbank&amp;log$=nucltop&amp;blast_rank=9&amp;RID=0FZ03ECE016","XM_007864801.1")</f>
        <v>XM_007864801.1</v>
      </c>
    </row>
    <row r="503" spans="1:7" x14ac:dyDescent="0.35">
      <c r="A503" t="s">
        <v>297</v>
      </c>
      <c r="B503">
        <v>814</v>
      </c>
      <c r="C503">
        <v>814</v>
      </c>
      <c r="D503" s="2">
        <v>0.99</v>
      </c>
      <c r="E503">
        <v>0</v>
      </c>
      <c r="F503">
        <v>56.44</v>
      </c>
      <c r="G503" t="str">
        <f>HYPERLINK("https://www.ncbi.nlm.nih.gov/nucleotide/XM_007395394.1?report=genbank&amp;log$=nucltop&amp;blast_rank=10&amp;RID=0FZ03ECE016","XM_007395394.1")</f>
        <v>XM_007395394.1</v>
      </c>
    </row>
    <row r="504" spans="1:7" x14ac:dyDescent="0.35">
      <c r="A504" t="s">
        <v>295</v>
      </c>
      <c r="B504">
        <v>809</v>
      </c>
      <c r="C504">
        <v>809</v>
      </c>
      <c r="D504" s="2">
        <v>0.99</v>
      </c>
      <c r="E504">
        <v>0</v>
      </c>
      <c r="F504">
        <v>56.22</v>
      </c>
      <c r="G504" t="str">
        <f>HYPERLINK("https://www.ncbi.nlm.nih.gov/nucleotide/XM_007361427.1?report=genbank&amp;log$=nucltop&amp;blast_rank=11&amp;RID=0FZ03ECE016","XM_007361427.1")</f>
        <v>XM_007361427.1</v>
      </c>
    </row>
    <row r="505" spans="1:7" x14ac:dyDescent="0.35">
      <c r="A505" t="s">
        <v>296</v>
      </c>
      <c r="B505">
        <v>829</v>
      </c>
      <c r="C505">
        <v>829</v>
      </c>
      <c r="D505" s="2">
        <v>0.99</v>
      </c>
      <c r="E505">
        <v>0</v>
      </c>
      <c r="F505">
        <v>56.19</v>
      </c>
      <c r="G505" t="str">
        <f>HYPERLINK("https://www.ncbi.nlm.nih.gov/nucleotide/XM_007322003.1?report=genbank&amp;log$=nucltop&amp;blast_rank=12&amp;RID=0FZ03ECE016","XM_007322003.1")</f>
        <v>XM_007322003.1</v>
      </c>
    </row>
    <row r="506" spans="1:7" x14ac:dyDescent="0.35">
      <c r="A506" t="s">
        <v>292</v>
      </c>
      <c r="B506">
        <v>824</v>
      </c>
      <c r="C506">
        <v>824</v>
      </c>
      <c r="D506" s="2">
        <v>0.99</v>
      </c>
      <c r="E506">
        <v>0</v>
      </c>
      <c r="F506">
        <v>56.15</v>
      </c>
      <c r="G506" t="str">
        <f>HYPERLINK("https://www.ncbi.nlm.nih.gov/nucleotide/XM_008038568.1?report=genbank&amp;log$=nucltop&amp;blast_rank=13&amp;RID=0FZ03ECE016","XM_008038568.1")</f>
        <v>XM_008038568.1</v>
      </c>
    </row>
    <row r="507" spans="1:7" x14ac:dyDescent="0.35">
      <c r="A507" t="s">
        <v>293</v>
      </c>
      <c r="B507">
        <v>818</v>
      </c>
      <c r="C507">
        <v>818</v>
      </c>
      <c r="D507" s="2">
        <v>0.99</v>
      </c>
      <c r="E507">
        <v>0</v>
      </c>
      <c r="F507">
        <v>56.08</v>
      </c>
      <c r="G507" t="str">
        <f>HYPERLINK("https://www.ncbi.nlm.nih.gov/nucleotide/XM_007385278.1?report=genbank&amp;log$=nucltop&amp;blast_rank=14&amp;RID=0FZ03ECE016","XM_007385278.1")</f>
        <v>XM_007385278.1</v>
      </c>
    </row>
    <row r="508" spans="1:7" x14ac:dyDescent="0.35">
      <c r="A508" t="s">
        <v>291</v>
      </c>
      <c r="B508">
        <v>820</v>
      </c>
      <c r="C508">
        <v>820</v>
      </c>
      <c r="D508" s="2">
        <v>0.99</v>
      </c>
      <c r="E508">
        <v>0</v>
      </c>
      <c r="F508">
        <v>55.93</v>
      </c>
      <c r="G508" t="str">
        <f>HYPERLINK("https://www.ncbi.nlm.nih.gov/nucleotide/XM_024480489.1?report=genbank&amp;log$=nucltop&amp;blast_rank=15&amp;RID=0FZ03ECE016","XM_024480489.1")</f>
        <v>XM_024480489.1</v>
      </c>
    </row>
    <row r="509" spans="1:7" x14ac:dyDescent="0.35">
      <c r="A509" t="s">
        <v>298</v>
      </c>
      <c r="B509">
        <v>806</v>
      </c>
      <c r="C509">
        <v>806</v>
      </c>
      <c r="D509" s="2">
        <v>0.98</v>
      </c>
      <c r="E509">
        <v>0</v>
      </c>
      <c r="F509">
        <v>55.4</v>
      </c>
      <c r="G509" t="str">
        <f>HYPERLINK("https://www.ncbi.nlm.nih.gov/nucleotide/XM_001832964.1?report=genbank&amp;log$=nucltop&amp;blast_rank=16&amp;RID=0FZ03ECE016","XM_001832964.1")</f>
        <v>XM_001832964.1</v>
      </c>
    </row>
    <row r="510" spans="1:7" x14ac:dyDescent="0.35">
      <c r="A510" t="s">
        <v>300</v>
      </c>
      <c r="B510">
        <v>771</v>
      </c>
      <c r="C510">
        <v>771</v>
      </c>
      <c r="D510" s="2">
        <v>0.97</v>
      </c>
      <c r="E510">
        <v>0</v>
      </c>
      <c r="F510">
        <v>54.4</v>
      </c>
      <c r="G510" t="str">
        <f>HYPERLINK("https://www.ncbi.nlm.nih.gov/nucleotide/XM_007326500.1?report=genbank&amp;log$=nucltop&amp;blast_rank=17&amp;RID=0FZ03ECE016","XM_007326500.1")</f>
        <v>XM_007326500.1</v>
      </c>
    </row>
    <row r="511" spans="1:7" x14ac:dyDescent="0.35">
      <c r="A511" t="s">
        <v>299</v>
      </c>
      <c r="B511">
        <v>771</v>
      </c>
      <c r="C511">
        <v>771</v>
      </c>
      <c r="D511" s="2">
        <v>0.99</v>
      </c>
      <c r="E511">
        <v>0</v>
      </c>
      <c r="F511">
        <v>54.31</v>
      </c>
      <c r="G511" t="str">
        <f>HYPERLINK("https://www.ncbi.nlm.nih.gov/nucleotide/XM_007766373.1?report=genbank&amp;log$=nucltop&amp;blast_rank=18&amp;RID=0FZ03ECE016","XM_007766373.1")</f>
        <v>XM_007766373.1</v>
      </c>
    </row>
    <row r="512" spans="1:7" x14ac:dyDescent="0.35">
      <c r="A512" t="s">
        <v>301</v>
      </c>
      <c r="B512">
        <v>769</v>
      </c>
      <c r="C512">
        <v>769</v>
      </c>
      <c r="D512" s="2">
        <v>0.97</v>
      </c>
      <c r="E512">
        <v>0</v>
      </c>
      <c r="F512">
        <v>54.26</v>
      </c>
      <c r="G512" t="str">
        <f>HYPERLINK("https://www.ncbi.nlm.nih.gov/nucleotide/XM_006457968.1?report=genbank&amp;log$=nucltop&amp;blast_rank=19&amp;RID=0FZ03ECE016","XM_006457968.1")</f>
        <v>XM_006457968.1</v>
      </c>
    </row>
    <row r="513" spans="1:7" x14ac:dyDescent="0.35">
      <c r="A513" t="s">
        <v>302</v>
      </c>
      <c r="B513">
        <v>792</v>
      </c>
      <c r="C513">
        <v>792</v>
      </c>
      <c r="D513" s="2">
        <v>0.99</v>
      </c>
      <c r="E513">
        <v>0</v>
      </c>
      <c r="F513">
        <v>54.13</v>
      </c>
      <c r="G513" t="str">
        <f>HYPERLINK("https://www.ncbi.nlm.nih.gov/nucleotide/XM_037367443.1?report=genbank&amp;log$=nucltop&amp;blast_rank=20&amp;RID=0FZ03ECE016","XM_037367443.1")</f>
        <v>XM_037367443.1</v>
      </c>
    </row>
    <row r="514" spans="1:7" x14ac:dyDescent="0.35">
      <c r="A514" t="s">
        <v>185</v>
      </c>
      <c r="B514">
        <v>698</v>
      </c>
      <c r="C514">
        <v>698</v>
      </c>
      <c r="D514" s="2">
        <v>0.88</v>
      </c>
      <c r="E514">
        <v>0</v>
      </c>
      <c r="F514">
        <v>53.92</v>
      </c>
      <c r="G514" t="str">
        <f>HYPERLINK("https://www.ncbi.nlm.nih.gov/nucleotide/XM_007881850.1?report=genbank&amp;log$=nucltop&amp;blast_rank=21&amp;RID=0FZ03ECE016","XM_007881850.1")</f>
        <v>XM_007881850.1</v>
      </c>
    </row>
    <row r="515" spans="1:7" x14ac:dyDescent="0.35">
      <c r="A515" t="s">
        <v>331</v>
      </c>
      <c r="B515">
        <v>686</v>
      </c>
      <c r="C515">
        <v>686</v>
      </c>
      <c r="D515" s="2">
        <v>0.88</v>
      </c>
      <c r="E515">
        <v>0</v>
      </c>
      <c r="F515">
        <v>53.9</v>
      </c>
      <c r="G515" t="str">
        <f>HYPERLINK("https://www.ncbi.nlm.nih.gov/nucleotide/XM_025313188.1?report=genbank&amp;log$=nucltop&amp;blast_rank=22&amp;RID=0FZ03ECE016","XM_025313188.1")</f>
        <v>XM_025313188.1</v>
      </c>
    </row>
    <row r="516" spans="1:7" x14ac:dyDescent="0.35">
      <c r="A516" t="s">
        <v>304</v>
      </c>
      <c r="B516">
        <v>697</v>
      </c>
      <c r="C516">
        <v>697</v>
      </c>
      <c r="D516" s="2">
        <v>0.88</v>
      </c>
      <c r="E516">
        <v>0</v>
      </c>
      <c r="F516">
        <v>53.64</v>
      </c>
      <c r="G516" t="str">
        <f>HYPERLINK("https://www.ncbi.nlm.nih.gov/nucleotide/LT558132.1?report=genbank&amp;log$=nucltop&amp;blast_rank=23&amp;RID=0FZ03ECE016","LT558132.1")</f>
        <v>LT558132.1</v>
      </c>
    </row>
    <row r="517" spans="1:7" x14ac:dyDescent="0.35">
      <c r="A517" t="s">
        <v>306</v>
      </c>
      <c r="B517">
        <v>690</v>
      </c>
      <c r="C517">
        <v>690</v>
      </c>
      <c r="D517" s="2">
        <v>0.88</v>
      </c>
      <c r="E517">
        <v>0</v>
      </c>
      <c r="F517">
        <v>53.23</v>
      </c>
      <c r="G517" t="str">
        <f>HYPERLINK("https://www.ncbi.nlm.nih.gov/nucleotide/LT795070.1?report=genbank&amp;log$=nucltop&amp;blast_rank=24&amp;RID=0FZ03ECE016","LT795070.1")</f>
        <v>LT795070.1</v>
      </c>
    </row>
    <row r="518" spans="1:7" x14ac:dyDescent="0.35">
      <c r="A518" t="s">
        <v>305</v>
      </c>
      <c r="B518">
        <v>678</v>
      </c>
      <c r="C518">
        <v>678</v>
      </c>
      <c r="D518" s="2">
        <v>0.88</v>
      </c>
      <c r="E518">
        <v>0</v>
      </c>
      <c r="F518">
        <v>53.14</v>
      </c>
      <c r="G518" t="str">
        <f>HYPERLINK("https://www.ncbi.nlm.nih.gov/nucleotide/XM_011393347.1?report=genbank&amp;log$=nucltop&amp;blast_rank=25&amp;RID=0FZ03ECE016","XM_011393347.1")</f>
        <v>XM_011393347.1</v>
      </c>
    </row>
    <row r="519" spans="1:7" x14ac:dyDescent="0.35">
      <c r="A519" t="s">
        <v>303</v>
      </c>
      <c r="B519">
        <v>676</v>
      </c>
      <c r="C519">
        <v>676</v>
      </c>
      <c r="D519" s="2">
        <v>0.88</v>
      </c>
      <c r="E519">
        <v>0</v>
      </c>
      <c r="F519">
        <v>52.98</v>
      </c>
      <c r="G519" t="str">
        <f>HYPERLINK("https://www.ncbi.nlm.nih.gov/nucleotide/XM_016417291.1?report=genbank&amp;log$=nucltop&amp;blast_rank=26&amp;RID=0FZ03ECE016","XM_016417291.1")</f>
        <v>XM_016417291.1</v>
      </c>
    </row>
    <row r="520" spans="1:7" x14ac:dyDescent="0.35">
      <c r="A520" t="s">
        <v>345</v>
      </c>
      <c r="B520">
        <v>674</v>
      </c>
      <c r="C520">
        <v>674</v>
      </c>
      <c r="D520" s="2">
        <v>0.87</v>
      </c>
      <c r="E520">
        <v>0</v>
      </c>
      <c r="F520">
        <v>52.78</v>
      </c>
      <c r="G520" t="str">
        <f>HYPERLINK("https://www.ncbi.nlm.nih.gov/nucleotide/LT671819.1?report=genbank&amp;log$=nucltop&amp;blast_rank=27&amp;RID=0FZ03ECE016","LT671819.1")</f>
        <v>LT671819.1</v>
      </c>
    </row>
    <row r="521" spans="1:7" x14ac:dyDescent="0.35">
      <c r="A521" t="s">
        <v>347</v>
      </c>
      <c r="B521">
        <v>673</v>
      </c>
      <c r="C521">
        <v>673</v>
      </c>
      <c r="D521" s="2">
        <v>0.87</v>
      </c>
      <c r="E521">
        <v>0</v>
      </c>
      <c r="F521">
        <v>52.78</v>
      </c>
      <c r="G521" t="str">
        <f>HYPERLINK("https://www.ncbi.nlm.nih.gov/nucleotide/LT671827.1?report=genbank&amp;log$=nucltop&amp;blast_rank=28&amp;RID=0FZ03ECE016","LT671827.1")</f>
        <v>LT671827.1</v>
      </c>
    </row>
    <row r="522" spans="1:7" x14ac:dyDescent="0.35">
      <c r="A522" t="s">
        <v>348</v>
      </c>
      <c r="B522">
        <v>673</v>
      </c>
      <c r="C522">
        <v>673</v>
      </c>
      <c r="D522" s="2">
        <v>0.87</v>
      </c>
      <c r="E522">
        <v>0</v>
      </c>
      <c r="F522">
        <v>52.78</v>
      </c>
      <c r="G522" t="str">
        <f>HYPERLINK("https://www.ncbi.nlm.nih.gov/nucleotide/LT671811.1?report=genbank&amp;log$=nucltop&amp;blast_rank=29&amp;RID=0FZ03ECE016","LT671811.1")</f>
        <v>LT671811.1</v>
      </c>
    </row>
    <row r="523" spans="1:7" x14ac:dyDescent="0.35">
      <c r="A523" t="s">
        <v>349</v>
      </c>
      <c r="B523">
        <v>673</v>
      </c>
      <c r="C523">
        <v>673</v>
      </c>
      <c r="D523" s="2">
        <v>0.87</v>
      </c>
      <c r="E523">
        <v>0</v>
      </c>
      <c r="F523">
        <v>52.78</v>
      </c>
      <c r="G523" t="str">
        <f>HYPERLINK("https://www.ncbi.nlm.nih.gov/nucleotide/LT671803.1?report=genbank&amp;log$=nucltop&amp;blast_rank=30&amp;RID=0FZ03ECE016","LT671803.1")</f>
        <v>LT671803.1</v>
      </c>
    </row>
    <row r="524" spans="1:7" x14ac:dyDescent="0.35">
      <c r="A524" t="s">
        <v>350</v>
      </c>
      <c r="B524">
        <v>673</v>
      </c>
      <c r="C524">
        <v>673</v>
      </c>
      <c r="D524" s="2">
        <v>0.87</v>
      </c>
      <c r="E524">
        <v>0</v>
      </c>
      <c r="F524">
        <v>52.78</v>
      </c>
      <c r="G524" t="str">
        <f>HYPERLINK("https://www.ncbi.nlm.nih.gov/nucleotide/LT671795.1?report=genbank&amp;log$=nucltop&amp;blast_rank=31&amp;RID=0FZ03ECE016","LT671795.1")</f>
        <v>LT671795.1</v>
      </c>
    </row>
    <row r="525" spans="1:7" x14ac:dyDescent="0.35">
      <c r="A525" t="s">
        <v>346</v>
      </c>
      <c r="B525">
        <v>673</v>
      </c>
      <c r="C525">
        <v>673</v>
      </c>
      <c r="D525" s="2">
        <v>0.87</v>
      </c>
      <c r="E525">
        <v>0</v>
      </c>
      <c r="F525">
        <v>52.78</v>
      </c>
      <c r="G525" t="str">
        <f>HYPERLINK("https://www.ncbi.nlm.nih.gov/nucleotide/XM_018885014.1?report=genbank&amp;log$=nucltop&amp;blast_rank=32&amp;RID=0FZ03ECE016","XM_018885014.1")</f>
        <v>XM_018885014.1</v>
      </c>
    </row>
    <row r="526" spans="1:7" x14ac:dyDescent="0.35">
      <c r="A526" t="s">
        <v>312</v>
      </c>
      <c r="B526">
        <v>685</v>
      </c>
      <c r="C526">
        <v>685</v>
      </c>
      <c r="D526" s="2">
        <v>0.88</v>
      </c>
      <c r="E526">
        <v>0</v>
      </c>
      <c r="F526">
        <v>52.74</v>
      </c>
      <c r="G526" t="str">
        <f>HYPERLINK("https://www.ncbi.nlm.nih.gov/nucleotide/XM_018418282.1?report=genbank&amp;log$=nucltop&amp;blast_rank=33&amp;RID=0FZ03ECE016","XM_018418282.1")</f>
        <v>XM_018418282.1</v>
      </c>
    </row>
    <row r="527" spans="1:7" x14ac:dyDescent="0.35">
      <c r="A527" t="s">
        <v>310</v>
      </c>
      <c r="B527">
        <v>687</v>
      </c>
      <c r="C527">
        <v>687</v>
      </c>
      <c r="D527" s="2">
        <v>0.88</v>
      </c>
      <c r="E527">
        <v>0</v>
      </c>
      <c r="F527">
        <v>52.68</v>
      </c>
      <c r="G527" t="str">
        <f>HYPERLINK("https://www.ncbi.nlm.nih.gov/nucleotide/XM_029880993.1?report=genbank&amp;log$=nucltop&amp;blast_rank=34&amp;RID=0FZ03ECE016","XM_029880993.1")</f>
        <v>XM_029880993.1</v>
      </c>
    </row>
    <row r="528" spans="1:7" x14ac:dyDescent="0.35">
      <c r="A528" t="s">
        <v>308</v>
      </c>
      <c r="B528">
        <v>685</v>
      </c>
      <c r="C528">
        <v>685</v>
      </c>
      <c r="D528" s="2">
        <v>0.88</v>
      </c>
      <c r="E528">
        <v>0</v>
      </c>
      <c r="F528">
        <v>52.68</v>
      </c>
      <c r="G528" t="str">
        <f>HYPERLINK("https://www.ncbi.nlm.nih.gov/nucleotide/XM_016434934.1?report=genbank&amp;log$=nucltop&amp;blast_rank=35&amp;RID=0FZ03ECE016","XM_016434934.1")</f>
        <v>XM_016434934.1</v>
      </c>
    </row>
    <row r="529" spans="1:7" x14ac:dyDescent="0.35">
      <c r="A529" t="s">
        <v>311</v>
      </c>
      <c r="B529">
        <v>687</v>
      </c>
      <c r="C529">
        <v>687</v>
      </c>
      <c r="D529" s="2">
        <v>0.88</v>
      </c>
      <c r="E529">
        <v>0</v>
      </c>
      <c r="F529">
        <v>52.67</v>
      </c>
      <c r="G529" t="str">
        <f>HYPERLINK("https://www.ncbi.nlm.nih.gov/nucleotide/CP060314.1?report=genbank&amp;log$=nucltop&amp;blast_rank=36&amp;RID=0FZ03ECE016","CP060314.1")</f>
        <v>CP060314.1</v>
      </c>
    </row>
    <row r="530" spans="1:7" x14ac:dyDescent="0.35">
      <c r="A530" t="s">
        <v>307</v>
      </c>
      <c r="B530">
        <v>684</v>
      </c>
      <c r="C530">
        <v>684</v>
      </c>
      <c r="D530" s="2">
        <v>0.88</v>
      </c>
      <c r="E530">
        <v>0</v>
      </c>
      <c r="F530">
        <v>52.6</v>
      </c>
      <c r="G530" t="str">
        <f>HYPERLINK("https://www.ncbi.nlm.nih.gov/nucleotide/FQ311438.1?report=genbank&amp;log$=nucltop&amp;blast_rank=37&amp;RID=0FZ03ECE016","FQ311438.1")</f>
        <v>FQ311438.1</v>
      </c>
    </row>
    <row r="531" spans="1:7" x14ac:dyDescent="0.35">
      <c r="A531" t="s">
        <v>172</v>
      </c>
      <c r="B531">
        <v>682</v>
      </c>
      <c r="C531">
        <v>682</v>
      </c>
      <c r="D531" s="2">
        <v>0.88</v>
      </c>
      <c r="E531">
        <v>0</v>
      </c>
      <c r="F531">
        <v>52.45</v>
      </c>
      <c r="G531" t="str">
        <f>HYPERLINK("https://www.ncbi.nlm.nih.gov/nucleotide/LK056654.1?report=genbank&amp;log$=nucltop&amp;blast_rank=38&amp;RID=0FZ03ECE016","LK056654.1")</f>
        <v>LK056654.1</v>
      </c>
    </row>
    <row r="532" spans="1:7" x14ac:dyDescent="0.35">
      <c r="A532" t="s">
        <v>173</v>
      </c>
      <c r="B532">
        <v>682</v>
      </c>
      <c r="C532">
        <v>682</v>
      </c>
      <c r="D532" s="2">
        <v>0.88</v>
      </c>
      <c r="E532">
        <v>0</v>
      </c>
      <c r="F532">
        <v>52.45</v>
      </c>
      <c r="G532" t="str">
        <f>HYPERLINK("https://www.ncbi.nlm.nih.gov/nucleotide/CP010920.1?report=genbank&amp;log$=nucltop&amp;blast_rank=39&amp;RID=0FZ03ECE016","CP010920.1")</f>
        <v>CP010920.1</v>
      </c>
    </row>
    <row r="533" spans="1:7" x14ac:dyDescent="0.35">
      <c r="A533" t="s">
        <v>327</v>
      </c>
      <c r="B533">
        <v>672</v>
      </c>
      <c r="C533">
        <v>672</v>
      </c>
      <c r="D533" s="2">
        <v>0.87</v>
      </c>
      <c r="E533">
        <v>0</v>
      </c>
      <c r="F533">
        <v>52.31</v>
      </c>
      <c r="G533" t="str">
        <f>HYPERLINK("https://www.ncbi.nlm.nih.gov/nucleotide/XM_018138661.1?report=genbank&amp;log$=nucltop&amp;blast_rank=40&amp;RID=0FZ03ECE016","XM_018138661.1")</f>
        <v>XM_018138661.1</v>
      </c>
    </row>
    <row r="534" spans="1:7" x14ac:dyDescent="0.35">
      <c r="A534" t="s">
        <v>309</v>
      </c>
      <c r="B534">
        <v>688</v>
      </c>
      <c r="C534">
        <v>688</v>
      </c>
      <c r="D534" s="2">
        <v>0.88</v>
      </c>
      <c r="E534">
        <v>0</v>
      </c>
      <c r="F534">
        <v>52.2</v>
      </c>
      <c r="G534" t="str">
        <f>HYPERLINK("https://www.ncbi.nlm.nih.gov/nucleotide/XM_012336565.1?report=genbank&amp;log$=nucltop&amp;blast_rank=41&amp;RID=0FZ03ECE016","XM_012336565.1")</f>
        <v>XM_012336565.1</v>
      </c>
    </row>
    <row r="535" spans="1:7" x14ac:dyDescent="0.35">
      <c r="A535" t="s">
        <v>320</v>
      </c>
      <c r="B535">
        <v>666</v>
      </c>
      <c r="C535">
        <v>666</v>
      </c>
      <c r="D535" s="2">
        <v>0.88</v>
      </c>
      <c r="E535">
        <v>0</v>
      </c>
      <c r="F535">
        <v>52.17</v>
      </c>
      <c r="G535" t="str">
        <f>HYPERLINK("https://www.ncbi.nlm.nih.gov/nucleotide/XM_025517200.1?report=genbank&amp;log$=nucltop&amp;blast_rank=42&amp;RID=0FZ03ECE016","XM_025517200.1")</f>
        <v>XM_025517200.1</v>
      </c>
    </row>
    <row r="536" spans="1:7" x14ac:dyDescent="0.35">
      <c r="A536" t="s">
        <v>32</v>
      </c>
      <c r="B536">
        <v>667</v>
      </c>
      <c r="C536">
        <v>667</v>
      </c>
      <c r="D536" s="2">
        <v>0.87</v>
      </c>
      <c r="E536">
        <v>0</v>
      </c>
      <c r="F536">
        <v>52.15</v>
      </c>
      <c r="G536" t="str">
        <f>HYPERLINK("https://www.ncbi.nlm.nih.gov/nucleotide/XM_018428788.1?report=genbank&amp;log$=nucltop&amp;blast_rank=43&amp;RID=0FZ03ECE016","XM_018428788.1")</f>
        <v>XM_018428788.1</v>
      </c>
    </row>
    <row r="537" spans="1:7" x14ac:dyDescent="0.35">
      <c r="A537" t="s">
        <v>325</v>
      </c>
      <c r="B537">
        <v>659</v>
      </c>
      <c r="C537">
        <v>659</v>
      </c>
      <c r="D537" s="2">
        <v>0.88</v>
      </c>
      <c r="E537">
        <v>0</v>
      </c>
      <c r="F537">
        <v>52.14</v>
      </c>
      <c r="G537" t="str">
        <f>HYPERLINK("https://www.ncbi.nlm.nih.gov/nucleotide/XM_022724697.1?report=genbank&amp;log$=nucltop&amp;blast_rank=44&amp;RID=0FZ03ECE016","XM_022724697.1")</f>
        <v>XM_022724697.1</v>
      </c>
    </row>
    <row r="538" spans="1:7" x14ac:dyDescent="0.35">
      <c r="A538" t="s">
        <v>326</v>
      </c>
      <c r="B538">
        <v>685</v>
      </c>
      <c r="C538">
        <v>685</v>
      </c>
      <c r="D538" s="2">
        <v>0.88</v>
      </c>
      <c r="E538">
        <v>0</v>
      </c>
      <c r="F538">
        <v>52.11</v>
      </c>
      <c r="G538" t="str">
        <f>HYPERLINK("https://www.ncbi.nlm.nih.gov/nucleotide/XM_014711481.1?report=genbank&amp;log$=nucltop&amp;blast_rank=45&amp;RID=0FZ03ECE016","XM_014711481.1")</f>
        <v>XM_014711481.1</v>
      </c>
    </row>
    <row r="539" spans="1:7" x14ac:dyDescent="0.35">
      <c r="A539" t="s">
        <v>321</v>
      </c>
      <c r="B539">
        <v>677</v>
      </c>
      <c r="C539">
        <v>677</v>
      </c>
      <c r="D539" s="2">
        <v>0.88</v>
      </c>
      <c r="E539">
        <v>0</v>
      </c>
      <c r="F539">
        <v>51.97</v>
      </c>
      <c r="G539" t="str">
        <f>HYPERLINK("https://www.ncbi.nlm.nih.gov/nucleotide/XM_014799615.1?report=genbank&amp;log$=nucltop&amp;blast_rank=46&amp;RID=0FZ03ECE016","XM_014799615.1")</f>
        <v>XM_014799615.1</v>
      </c>
    </row>
    <row r="540" spans="1:7" x14ac:dyDescent="0.35">
      <c r="A540" t="s">
        <v>318</v>
      </c>
      <c r="B540">
        <v>668</v>
      </c>
      <c r="C540">
        <v>668</v>
      </c>
      <c r="D540" s="2">
        <v>0.88</v>
      </c>
      <c r="E540">
        <v>0</v>
      </c>
      <c r="F540">
        <v>51.73</v>
      </c>
      <c r="G540" t="str">
        <f>HYPERLINK("https://www.ncbi.nlm.nih.gov/nucleotide/XM_013390349.1?report=genbank&amp;log$=nucltop&amp;blast_rank=47&amp;RID=0FZ03ECE016","XM_013390349.1")</f>
        <v>XM_013390349.1</v>
      </c>
    </row>
    <row r="541" spans="1:7" x14ac:dyDescent="0.35">
      <c r="A541" t="s">
        <v>330</v>
      </c>
      <c r="B541">
        <v>727</v>
      </c>
      <c r="C541">
        <v>727</v>
      </c>
      <c r="D541" s="2">
        <v>0.99</v>
      </c>
      <c r="E541">
        <v>0</v>
      </c>
      <c r="F541">
        <v>51.71</v>
      </c>
      <c r="G541" t="str">
        <f>HYPERLINK("https://www.ncbi.nlm.nih.gov/nucleotide/XM_007271215.1?report=genbank&amp;log$=nucltop&amp;blast_rank=48&amp;RID=0FZ03ECE016","XM_007271215.1")</f>
        <v>XM_007271215.1</v>
      </c>
    </row>
    <row r="542" spans="1:7" x14ac:dyDescent="0.35">
      <c r="A542" t="s">
        <v>313</v>
      </c>
      <c r="B542">
        <v>662</v>
      </c>
      <c r="C542">
        <v>662</v>
      </c>
      <c r="D542" s="2">
        <v>0.87</v>
      </c>
      <c r="E542">
        <v>0</v>
      </c>
      <c r="F542">
        <v>51.67</v>
      </c>
      <c r="G542" t="str">
        <f>HYPERLINK("https://www.ncbi.nlm.nih.gov/nucleotide/CP046439.1?report=genbank&amp;log$=nucltop&amp;blast_rank=49&amp;RID=0FZ03ECE016","CP046439.1")</f>
        <v>CP046439.1</v>
      </c>
    </row>
    <row r="543" spans="1:7" x14ac:dyDescent="0.35">
      <c r="A543" t="s">
        <v>314</v>
      </c>
      <c r="B543">
        <v>662</v>
      </c>
      <c r="C543">
        <v>662</v>
      </c>
      <c r="D543" s="2">
        <v>0.87</v>
      </c>
      <c r="E543">
        <v>0</v>
      </c>
      <c r="F543">
        <v>51.67</v>
      </c>
      <c r="G543" t="str">
        <f>HYPERLINK("https://www.ncbi.nlm.nih.gov/nucleotide/XM_001729718.1?report=genbank&amp;log$=nucltop&amp;blast_rank=50&amp;RID=0FZ03ECE016","XM_001729718.1")</f>
        <v>XM_001729718.1</v>
      </c>
    </row>
    <row r="544" spans="1:7" x14ac:dyDescent="0.35">
      <c r="A544" t="s">
        <v>315</v>
      </c>
      <c r="B544">
        <v>673</v>
      </c>
      <c r="C544">
        <v>673</v>
      </c>
      <c r="D544" s="2">
        <v>0.87</v>
      </c>
      <c r="E544">
        <v>0</v>
      </c>
      <c r="F544">
        <v>51.51</v>
      </c>
      <c r="G544" t="str">
        <f>HYPERLINK("https://www.ncbi.nlm.nih.gov/nucleotide/CP033152.1?report=genbank&amp;log$=nucltop&amp;blast_rank=51&amp;RID=0FZ03ECE016","CP033152.1")</f>
        <v>CP033152.1</v>
      </c>
    </row>
    <row r="545" spans="1:7" x14ac:dyDescent="0.35">
      <c r="A545" t="s">
        <v>317</v>
      </c>
      <c r="B545">
        <v>673</v>
      </c>
      <c r="C545">
        <v>673</v>
      </c>
      <c r="D545" s="2">
        <v>0.87</v>
      </c>
      <c r="E545">
        <v>0</v>
      </c>
      <c r="F545">
        <v>51.51</v>
      </c>
      <c r="G545" t="str">
        <f>HYPERLINK("https://www.ncbi.nlm.nih.gov/nucleotide/XM_027629006.1?report=genbank&amp;log$=nucltop&amp;blast_rank=52&amp;RID=0FZ03ECE016","XM_027629006.1")</f>
        <v>XM_027629006.1</v>
      </c>
    </row>
    <row r="546" spans="1:7" x14ac:dyDescent="0.35">
      <c r="A546" t="s">
        <v>316</v>
      </c>
      <c r="B546">
        <v>673</v>
      </c>
      <c r="C546">
        <v>673</v>
      </c>
      <c r="D546" s="2">
        <v>0.87</v>
      </c>
      <c r="E546">
        <v>0</v>
      </c>
      <c r="F546">
        <v>51.51</v>
      </c>
      <c r="G546" t="str">
        <f>HYPERLINK("https://www.ncbi.nlm.nih.gov/nucleotide/CP030254.1?report=genbank&amp;log$=nucltop&amp;blast_rank=53&amp;RID=0FZ03ECE016","CP030254.1")</f>
        <v>CP030254.1</v>
      </c>
    </row>
    <row r="547" spans="1:7" x14ac:dyDescent="0.35">
      <c r="A547" t="s">
        <v>323</v>
      </c>
      <c r="B547">
        <v>653</v>
      </c>
      <c r="C547">
        <v>653</v>
      </c>
      <c r="D547" s="2">
        <v>0.88</v>
      </c>
      <c r="E547">
        <v>0</v>
      </c>
      <c r="F547">
        <v>51.51</v>
      </c>
      <c r="G547" t="str">
        <f>HYPERLINK("https://www.ncbi.nlm.nih.gov/nucleotide/XM_023236763.1?report=genbank&amp;log$=nucltop&amp;blast_rank=54&amp;RID=0FZ03ECE016","XM_023236763.1")</f>
        <v>XM_023236763.1</v>
      </c>
    </row>
    <row r="548" spans="1:7" x14ac:dyDescent="0.35">
      <c r="A548" t="s">
        <v>333</v>
      </c>
      <c r="B548">
        <v>652</v>
      </c>
      <c r="C548">
        <v>652</v>
      </c>
      <c r="D548" s="2">
        <v>0.88</v>
      </c>
      <c r="E548">
        <v>0</v>
      </c>
      <c r="F548">
        <v>51.43</v>
      </c>
      <c r="G548" t="str">
        <f>HYPERLINK("https://www.ncbi.nlm.nih.gov/nucleotide/XM_002841174.1?report=genbank&amp;log$=nucltop&amp;blast_rank=55&amp;RID=0FZ03ECE016","XM_002841174.1")</f>
        <v>XM_002841174.1</v>
      </c>
    </row>
    <row r="549" spans="1:7" x14ac:dyDescent="0.35">
      <c r="A549" t="s">
        <v>335</v>
      </c>
      <c r="B549">
        <v>671</v>
      </c>
      <c r="C549">
        <v>671</v>
      </c>
      <c r="D549" s="2">
        <v>0.88</v>
      </c>
      <c r="E549">
        <v>0</v>
      </c>
      <c r="F549">
        <v>51.34</v>
      </c>
      <c r="G549" t="str">
        <f>HYPERLINK("https://www.ncbi.nlm.nih.gov/nucleotide/HG529665.1?report=genbank&amp;log$=nucltop&amp;blast_rank=56&amp;RID=0FZ03ECE016","HG529665.1")</f>
        <v>HG529665.1</v>
      </c>
    </row>
    <row r="550" spans="1:7" x14ac:dyDescent="0.35">
      <c r="A550" t="s">
        <v>358</v>
      </c>
      <c r="B550">
        <v>653</v>
      </c>
      <c r="C550">
        <v>707</v>
      </c>
      <c r="D550" s="2">
        <v>0.88</v>
      </c>
      <c r="E550">
        <v>0</v>
      </c>
      <c r="F550">
        <v>51.33</v>
      </c>
      <c r="G550" t="str">
        <f>HYPERLINK("https://www.ncbi.nlm.nih.gov/nucleotide/LT962476.1?report=genbank&amp;log$=nucltop&amp;blast_rank=57&amp;RID=0FZ03ECE016","LT962476.1")</f>
        <v>LT962476.1</v>
      </c>
    </row>
    <row r="551" spans="1:7" x14ac:dyDescent="0.35">
      <c r="A551" t="s">
        <v>359</v>
      </c>
      <c r="B551">
        <v>653</v>
      </c>
      <c r="C551">
        <v>707</v>
      </c>
      <c r="D551" s="2">
        <v>0.88</v>
      </c>
      <c r="E551">
        <v>0</v>
      </c>
      <c r="F551">
        <v>51.33</v>
      </c>
      <c r="G551" t="str">
        <f>HYPERLINK("https://www.ncbi.nlm.nih.gov/nucleotide/CP014715.1?report=genbank&amp;log$=nucltop&amp;blast_rank=58&amp;RID=0FZ03ECE016","CP014715.1")</f>
        <v>CP014715.1</v>
      </c>
    </row>
    <row r="552" spans="1:7" x14ac:dyDescent="0.35">
      <c r="A552" t="s">
        <v>360</v>
      </c>
      <c r="B552">
        <v>653</v>
      </c>
      <c r="C552">
        <v>707</v>
      </c>
      <c r="D552" s="2">
        <v>0.88</v>
      </c>
      <c r="E552">
        <v>0</v>
      </c>
      <c r="F552">
        <v>51.33</v>
      </c>
      <c r="G552" t="str">
        <f>HYPERLINK("https://www.ncbi.nlm.nih.gov/nucleotide/CP014708.1?report=genbank&amp;log$=nucltop&amp;blast_rank=59&amp;RID=0FZ03ECE016","CP014708.1")</f>
        <v>CP014708.1</v>
      </c>
    </row>
    <row r="553" spans="1:7" x14ac:dyDescent="0.35">
      <c r="A553" t="s">
        <v>361</v>
      </c>
      <c r="B553">
        <v>653</v>
      </c>
      <c r="C553">
        <v>707</v>
      </c>
      <c r="D553" s="2">
        <v>0.88</v>
      </c>
      <c r="E553">
        <v>0</v>
      </c>
      <c r="F553">
        <v>51.33</v>
      </c>
      <c r="G553" t="str">
        <f>HYPERLINK("https://www.ncbi.nlm.nih.gov/nucleotide/FR839628.1?report=genbank&amp;log$=nucltop&amp;blast_rank=60&amp;RID=0FZ03ECE016","FR839628.1")</f>
        <v>FR839628.1</v>
      </c>
    </row>
    <row r="554" spans="1:7" x14ac:dyDescent="0.35">
      <c r="A554" t="s">
        <v>357</v>
      </c>
      <c r="B554">
        <v>653</v>
      </c>
      <c r="C554">
        <v>653</v>
      </c>
      <c r="D554" s="2">
        <v>0.88</v>
      </c>
      <c r="E554">
        <v>0</v>
      </c>
      <c r="F554">
        <v>51.33</v>
      </c>
      <c r="G554" t="str">
        <f>HYPERLINK("https://www.ncbi.nlm.nih.gov/nucleotide/XM_002490692.1?report=genbank&amp;log$=nucltop&amp;blast_rank=61&amp;RID=0FZ03ECE016","XM_002490692.1")</f>
        <v>XM_002490692.1</v>
      </c>
    </row>
    <row r="555" spans="1:7" x14ac:dyDescent="0.35">
      <c r="A555" t="s">
        <v>362</v>
      </c>
      <c r="B555">
        <v>653</v>
      </c>
      <c r="C555">
        <v>707</v>
      </c>
      <c r="D555" s="2">
        <v>0.88</v>
      </c>
      <c r="E555">
        <v>0</v>
      </c>
      <c r="F555">
        <v>51.33</v>
      </c>
      <c r="G555" t="str">
        <f>HYPERLINK("https://www.ncbi.nlm.nih.gov/nucleotide/FN392319.1?report=genbank&amp;log$=nucltop&amp;blast_rank=62&amp;RID=0FZ03ECE016","FN392319.1")</f>
        <v>FN392319.1</v>
      </c>
    </row>
    <row r="556" spans="1:7" x14ac:dyDescent="0.35">
      <c r="A556" t="s">
        <v>338</v>
      </c>
      <c r="B556">
        <v>645</v>
      </c>
      <c r="C556">
        <v>645</v>
      </c>
      <c r="D556" s="2">
        <v>0.88</v>
      </c>
      <c r="E556">
        <v>0</v>
      </c>
      <c r="F556">
        <v>51.19</v>
      </c>
      <c r="G556" t="str">
        <f>HYPERLINK("https://www.ncbi.nlm.nih.gov/nucleotide/XM_001276175.1?report=genbank&amp;log$=nucltop&amp;blast_rank=63&amp;RID=0FZ03ECE016","XM_001276175.1")</f>
        <v>XM_001276175.1</v>
      </c>
    </row>
    <row r="557" spans="1:7" x14ac:dyDescent="0.35">
      <c r="A557" t="s">
        <v>364</v>
      </c>
      <c r="B557">
        <v>652</v>
      </c>
      <c r="C557">
        <v>652</v>
      </c>
      <c r="D557" s="2">
        <v>0.88</v>
      </c>
      <c r="E557">
        <v>0</v>
      </c>
      <c r="F557">
        <v>51.17</v>
      </c>
      <c r="G557" t="str">
        <f>HYPERLINK("https://www.ncbi.nlm.nih.gov/nucleotide/CP014586.1?report=genbank&amp;log$=nucltop&amp;blast_rank=64&amp;RID=0FZ03ECE016","CP014586.1")</f>
        <v>CP014586.1</v>
      </c>
    </row>
    <row r="558" spans="1:7" x14ac:dyDescent="0.35">
      <c r="A558" t="s">
        <v>329</v>
      </c>
      <c r="B558">
        <v>636</v>
      </c>
      <c r="C558">
        <v>636</v>
      </c>
      <c r="D558" s="2">
        <v>0.88</v>
      </c>
      <c r="E558">
        <v>0</v>
      </c>
      <c r="F558">
        <v>51.03</v>
      </c>
      <c r="G558" t="str">
        <f>HYPERLINK("https://www.ncbi.nlm.nih.gov/nucleotide/XM_032060481.1?report=genbank&amp;log$=nucltop&amp;blast_rank=65&amp;RID=0FZ03ECE016","XM_032060481.1")</f>
        <v>XM_032060481.1</v>
      </c>
    </row>
    <row r="559" spans="1:7" x14ac:dyDescent="0.35">
      <c r="A559" t="s">
        <v>328</v>
      </c>
      <c r="B559">
        <v>669</v>
      </c>
      <c r="C559">
        <v>919</v>
      </c>
      <c r="D559" s="2">
        <v>0.88</v>
      </c>
      <c r="E559">
        <v>0</v>
      </c>
      <c r="F559">
        <v>50.95</v>
      </c>
      <c r="G559" t="str">
        <f>HYPERLINK("https://www.ncbi.nlm.nih.gov/nucleotide/CP046235.1?report=genbank&amp;log$=nucltop&amp;blast_rank=66&amp;RID=0FZ03ECE016","CP046235.1")</f>
        <v>CP046235.1</v>
      </c>
    </row>
    <row r="560" spans="1:7" x14ac:dyDescent="0.35">
      <c r="A560" t="s">
        <v>332</v>
      </c>
      <c r="B560">
        <v>643</v>
      </c>
      <c r="C560">
        <v>643</v>
      </c>
      <c r="D560" s="2">
        <v>0.88</v>
      </c>
      <c r="E560">
        <v>0</v>
      </c>
      <c r="F560">
        <v>50.94</v>
      </c>
      <c r="G560" t="str">
        <f>HYPERLINK("https://www.ncbi.nlm.nih.gov/nucleotide/XM_025523197.1?report=genbank&amp;log$=nucltop&amp;blast_rank=67&amp;RID=0FZ03ECE016","XM_025523197.1")</f>
        <v>XM_025523197.1</v>
      </c>
    </row>
    <row r="561" spans="1:7" x14ac:dyDescent="0.35">
      <c r="A561" t="s">
        <v>351</v>
      </c>
      <c r="B561">
        <v>643</v>
      </c>
      <c r="C561">
        <v>643</v>
      </c>
      <c r="D561" s="2">
        <v>0.87</v>
      </c>
      <c r="E561">
        <v>0</v>
      </c>
      <c r="F561">
        <v>50.87</v>
      </c>
      <c r="G561" t="str">
        <f>HYPERLINK("https://www.ncbi.nlm.nih.gov/nucleotide/XM_018333214.1?report=genbank&amp;log$=nucltop&amp;blast_rank=68&amp;RID=0FZ03ECE016","XM_018333214.1")</f>
        <v>XM_018333214.1</v>
      </c>
    </row>
    <row r="562" spans="1:7" x14ac:dyDescent="0.35">
      <c r="A562" t="s">
        <v>319</v>
      </c>
      <c r="B562">
        <v>635</v>
      </c>
      <c r="C562">
        <v>635</v>
      </c>
      <c r="D562" s="2">
        <v>0.87</v>
      </c>
      <c r="E562">
        <v>0</v>
      </c>
      <c r="F562">
        <v>50.87</v>
      </c>
      <c r="G562" t="str">
        <f>HYPERLINK("https://www.ncbi.nlm.nih.gov/nucleotide/XM_025741072.1?report=genbank&amp;log$=nucltop&amp;blast_rank=69&amp;RID=0FZ03ECE016","XM_025741072.1")</f>
        <v>XM_025741072.1</v>
      </c>
    </row>
    <row r="563" spans="1:7" x14ac:dyDescent="0.35">
      <c r="A563" t="s">
        <v>341</v>
      </c>
      <c r="B563">
        <v>654</v>
      </c>
      <c r="C563">
        <v>654</v>
      </c>
      <c r="D563" s="2">
        <v>0.88</v>
      </c>
      <c r="E563">
        <v>0</v>
      </c>
      <c r="F563">
        <v>50.79</v>
      </c>
      <c r="G563" t="str">
        <f>HYPERLINK("https://www.ncbi.nlm.nih.gov/nucleotide/XM_022543778.1?report=genbank&amp;log$=nucltop&amp;blast_rank=70&amp;RID=0FZ03ECE016","XM_022543778.1")</f>
        <v>XM_022543778.1</v>
      </c>
    </row>
    <row r="564" spans="1:7" x14ac:dyDescent="0.35">
      <c r="A564" t="s">
        <v>324</v>
      </c>
      <c r="B564">
        <v>645</v>
      </c>
      <c r="C564">
        <v>645</v>
      </c>
      <c r="D564" s="2">
        <v>0.87</v>
      </c>
      <c r="E564">
        <v>0</v>
      </c>
      <c r="F564">
        <v>50.78</v>
      </c>
      <c r="G564" t="str">
        <f>HYPERLINK("https://www.ncbi.nlm.nih.gov/nucleotide/XM_025490801.1?report=genbank&amp;log$=nucltop&amp;blast_rank=71&amp;RID=0FZ03ECE016","XM_025490801.1")</f>
        <v>XM_025490801.1</v>
      </c>
    </row>
    <row r="565" spans="1:7" x14ac:dyDescent="0.35">
      <c r="A565" t="s">
        <v>352</v>
      </c>
      <c r="B565">
        <v>659</v>
      </c>
      <c r="C565">
        <v>659</v>
      </c>
      <c r="D565" s="2">
        <v>0.88</v>
      </c>
      <c r="E565">
        <v>0</v>
      </c>
      <c r="F565">
        <v>50.77</v>
      </c>
      <c r="G565" t="str">
        <f>HYPERLINK("https://www.ncbi.nlm.nih.gov/nucleotide/XM_025500308.1?report=genbank&amp;log$=nucltop&amp;blast_rank=72&amp;RID=0FZ03ECE016","XM_025500308.1")</f>
        <v>XM_025500308.1</v>
      </c>
    </row>
    <row r="566" spans="1:7" x14ac:dyDescent="0.35">
      <c r="A566" t="s">
        <v>342</v>
      </c>
      <c r="B566">
        <v>642</v>
      </c>
      <c r="C566">
        <v>642</v>
      </c>
      <c r="D566" s="2">
        <v>0.88</v>
      </c>
      <c r="E566">
        <v>0</v>
      </c>
      <c r="F566">
        <v>50.71</v>
      </c>
      <c r="G566" t="str">
        <f>HYPERLINK("https://www.ncbi.nlm.nih.gov/nucleotide/XM_019171704.1?report=genbank&amp;log$=nucltop&amp;blast_rank=73&amp;RID=0FZ03ECE016","XM_019171704.1")</f>
        <v>XM_019171704.1</v>
      </c>
    </row>
    <row r="567" spans="1:7" x14ac:dyDescent="0.35">
      <c r="A567" t="s">
        <v>343</v>
      </c>
      <c r="B567">
        <v>645</v>
      </c>
      <c r="C567">
        <v>645</v>
      </c>
      <c r="D567" s="2">
        <v>0.88</v>
      </c>
      <c r="E567">
        <v>0</v>
      </c>
      <c r="F567">
        <v>50.71</v>
      </c>
      <c r="G567" t="str">
        <f>HYPERLINK("https://www.ncbi.nlm.nih.gov/nucleotide/XM_002615675.1?report=genbank&amp;log$=nucltop&amp;blast_rank=74&amp;RID=0FZ03ECE016","XM_002615675.1")</f>
        <v>XM_002615675.1</v>
      </c>
    </row>
    <row r="568" spans="1:7" x14ac:dyDescent="0.35">
      <c r="A568" t="s">
        <v>356</v>
      </c>
      <c r="B568">
        <v>647</v>
      </c>
      <c r="C568">
        <v>647</v>
      </c>
      <c r="D568" s="2">
        <v>0.87</v>
      </c>
      <c r="E568">
        <v>0</v>
      </c>
      <c r="F568">
        <v>50.55</v>
      </c>
      <c r="G568" t="str">
        <f>HYPERLINK("https://www.ncbi.nlm.nih.gov/nucleotide/XM_020216423.1?report=genbank&amp;log$=nucltop&amp;blast_rank=75&amp;RID=0FZ03ECE016","XM_020216423.1")</f>
        <v>XM_020216423.1</v>
      </c>
    </row>
    <row r="569" spans="1:7" x14ac:dyDescent="0.35">
      <c r="A569" t="s">
        <v>756</v>
      </c>
      <c r="B569">
        <v>640</v>
      </c>
      <c r="C569">
        <v>875</v>
      </c>
      <c r="D569" s="2">
        <v>0.88</v>
      </c>
      <c r="E569">
        <v>0</v>
      </c>
      <c r="F569">
        <v>50.55</v>
      </c>
      <c r="G569" t="str">
        <f>HYPERLINK("https://www.ncbi.nlm.nih.gov/nucleotide/CP039622.1?report=genbank&amp;log$=nucltop&amp;blast_rank=76&amp;RID=0FZ03ECE016","CP039622.1")</f>
        <v>CP039622.1</v>
      </c>
    </row>
    <row r="570" spans="1:7" x14ac:dyDescent="0.35">
      <c r="A570" t="s">
        <v>757</v>
      </c>
      <c r="B570">
        <v>640</v>
      </c>
      <c r="C570">
        <v>875</v>
      </c>
      <c r="D570" s="2">
        <v>0.88</v>
      </c>
      <c r="E570">
        <v>0</v>
      </c>
      <c r="F570">
        <v>50.55</v>
      </c>
      <c r="G570" t="str">
        <f>HYPERLINK("https://www.ncbi.nlm.nih.gov/nucleotide/CP039664.1?report=genbank&amp;log$=nucltop&amp;blast_rank=77&amp;RID=0FZ03ECE016","CP039664.1")</f>
        <v>CP039664.1</v>
      </c>
    </row>
    <row r="571" spans="1:7" x14ac:dyDescent="0.35">
      <c r="A571" t="s">
        <v>758</v>
      </c>
      <c r="B571">
        <v>640</v>
      </c>
      <c r="C571">
        <v>875</v>
      </c>
      <c r="D571" s="2">
        <v>0.88</v>
      </c>
      <c r="E571">
        <v>0</v>
      </c>
      <c r="F571">
        <v>50.55</v>
      </c>
      <c r="G571" t="str">
        <f>HYPERLINK("https://www.ncbi.nlm.nih.gov/nucleotide/CP039656.1?report=genbank&amp;log$=nucltop&amp;blast_rank=78&amp;RID=0FZ03ECE016","CP039656.1")</f>
        <v>CP039656.1</v>
      </c>
    </row>
    <row r="572" spans="1:7" x14ac:dyDescent="0.35">
      <c r="A572" t="s">
        <v>759</v>
      </c>
      <c r="B572">
        <v>640</v>
      </c>
      <c r="C572">
        <v>875</v>
      </c>
      <c r="D572" s="2">
        <v>0.88</v>
      </c>
      <c r="E572">
        <v>0</v>
      </c>
      <c r="F572">
        <v>50.55</v>
      </c>
      <c r="G572" t="str">
        <f>HYPERLINK("https://www.ncbi.nlm.nih.gov/nucleotide/CP039554.1?report=genbank&amp;log$=nucltop&amp;blast_rank=79&amp;RID=0FZ03ECE016","CP039554.1")</f>
        <v>CP039554.1</v>
      </c>
    </row>
    <row r="573" spans="1:7" x14ac:dyDescent="0.35">
      <c r="A573" t="s">
        <v>760</v>
      </c>
      <c r="B573">
        <v>640</v>
      </c>
      <c r="C573">
        <v>875</v>
      </c>
      <c r="D573" s="2">
        <v>0.88</v>
      </c>
      <c r="E573">
        <v>0</v>
      </c>
      <c r="F573">
        <v>50.55</v>
      </c>
      <c r="G573" t="str">
        <f>HYPERLINK("https://www.ncbi.nlm.nih.gov/nucleotide/CP038488.1?report=genbank&amp;log$=nucltop&amp;blast_rank=80&amp;RID=0FZ03ECE016","CP038488.1")</f>
        <v>CP038488.1</v>
      </c>
    </row>
    <row r="574" spans="1:7" x14ac:dyDescent="0.35">
      <c r="A574" t="s">
        <v>334</v>
      </c>
      <c r="B574">
        <v>647</v>
      </c>
      <c r="C574">
        <v>647</v>
      </c>
      <c r="D574" s="2">
        <v>0.88</v>
      </c>
      <c r="E574">
        <v>0</v>
      </c>
      <c r="F574">
        <v>50.38</v>
      </c>
      <c r="G574" t="str">
        <f>HYPERLINK("https://www.ncbi.nlm.nih.gov/nucleotide/XM_003335840.2?report=genbank&amp;log$=nucltop&amp;blast_rank=81&amp;RID=0FZ03ECE016","XM_003335840.2")</f>
        <v>XM_003335840.2</v>
      </c>
    </row>
    <row r="575" spans="1:7" x14ac:dyDescent="0.35">
      <c r="A575" t="s">
        <v>363</v>
      </c>
      <c r="B575">
        <v>634</v>
      </c>
      <c r="C575">
        <v>634</v>
      </c>
      <c r="D575" s="2">
        <v>0.88</v>
      </c>
      <c r="E575">
        <v>0</v>
      </c>
      <c r="F575">
        <v>50.23</v>
      </c>
      <c r="G575" t="str">
        <f>HYPERLINK("https://www.ncbi.nlm.nih.gov/nucleotide/XM_011275432.1?report=genbank&amp;log$=nucltop&amp;blast_rank=82&amp;RID=0FZ03ECE016","XM_011275432.1")</f>
        <v>XM_011275432.1</v>
      </c>
    </row>
    <row r="576" spans="1:7" x14ac:dyDescent="0.35">
      <c r="A576" t="s">
        <v>354</v>
      </c>
      <c r="B576">
        <v>642</v>
      </c>
      <c r="C576">
        <v>642</v>
      </c>
      <c r="D576" s="2">
        <v>0.87</v>
      </c>
      <c r="E576">
        <v>0</v>
      </c>
      <c r="F576">
        <v>50.16</v>
      </c>
      <c r="G576" t="str">
        <f>HYPERLINK("https://www.ncbi.nlm.nih.gov/nucleotide/XM_014080698.1?report=genbank&amp;log$=nucltop&amp;blast_rank=83&amp;RID=0FZ03ECE016","XM_014080698.1")</f>
        <v>XM_014080698.1</v>
      </c>
    </row>
    <row r="577" spans="1:7" x14ac:dyDescent="0.35">
      <c r="A577" t="s">
        <v>340</v>
      </c>
      <c r="B577">
        <v>635</v>
      </c>
      <c r="C577">
        <v>635</v>
      </c>
      <c r="D577" s="2">
        <v>0.88</v>
      </c>
      <c r="E577">
        <v>0</v>
      </c>
      <c r="F577">
        <v>50.08</v>
      </c>
      <c r="G577" t="str">
        <f>HYPERLINK("https://www.ncbi.nlm.nih.gov/nucleotide/XM_032067073.1?report=genbank&amp;log$=nucltop&amp;blast_rank=84&amp;RID=0FZ03ECE016","XM_032067073.1")</f>
        <v>XM_032067073.1</v>
      </c>
    </row>
    <row r="578" spans="1:7" x14ac:dyDescent="0.35">
      <c r="A578" t="s">
        <v>344</v>
      </c>
      <c r="B578">
        <v>634</v>
      </c>
      <c r="C578">
        <v>634</v>
      </c>
      <c r="D578" s="2">
        <v>0.88</v>
      </c>
      <c r="E578">
        <v>0</v>
      </c>
      <c r="F578">
        <v>50</v>
      </c>
      <c r="G578" t="str">
        <f>HYPERLINK("https://www.ncbi.nlm.nih.gov/nucleotide/XM_019161140.1?report=genbank&amp;log$=nucltop&amp;blast_rank=85&amp;RID=0FZ03ECE016","XM_019161140.1")</f>
        <v>XM_019161140.1</v>
      </c>
    </row>
    <row r="579" spans="1:7" x14ac:dyDescent="0.35">
      <c r="A579" t="s">
        <v>355</v>
      </c>
      <c r="B579">
        <v>635</v>
      </c>
      <c r="C579">
        <v>635</v>
      </c>
      <c r="D579" s="2">
        <v>0.88</v>
      </c>
      <c r="E579">
        <v>0</v>
      </c>
      <c r="F579">
        <v>49.84</v>
      </c>
      <c r="G579" t="str">
        <f>HYPERLINK("https://www.ncbi.nlm.nih.gov/nucleotide/XM_029464436.1?report=genbank&amp;log$=nucltop&amp;blast_rank=86&amp;RID=0FZ03ECE016","XM_029464436.1")</f>
        <v>XM_029464436.1</v>
      </c>
    </row>
    <row r="580" spans="1:7" x14ac:dyDescent="0.35">
      <c r="A580" t="s">
        <v>761</v>
      </c>
      <c r="B580">
        <v>634</v>
      </c>
      <c r="C580">
        <v>704</v>
      </c>
      <c r="D580" s="2">
        <v>0.88</v>
      </c>
      <c r="E580">
        <v>0</v>
      </c>
      <c r="F580">
        <v>49.84</v>
      </c>
      <c r="G580" t="str">
        <f>HYPERLINK("https://www.ncbi.nlm.nih.gov/nucleotide/CP039615.1?report=genbank&amp;log$=nucltop&amp;blast_rank=87&amp;RID=0FZ03ECE016","CP039615.1")</f>
        <v>CP039615.1</v>
      </c>
    </row>
    <row r="581" spans="1:7" x14ac:dyDescent="0.35">
      <c r="A581" t="s">
        <v>762</v>
      </c>
      <c r="B581">
        <v>634</v>
      </c>
      <c r="C581">
        <v>704</v>
      </c>
      <c r="D581" s="2">
        <v>0.88</v>
      </c>
      <c r="E581">
        <v>0</v>
      </c>
      <c r="F581">
        <v>49.84</v>
      </c>
      <c r="G581" t="str">
        <f>HYPERLINK("https://www.ncbi.nlm.nih.gov/nucleotide/CP028774.1?report=genbank&amp;log$=nucltop&amp;blast_rank=88&amp;RID=0FZ03ECE016","CP028774.1")</f>
        <v>CP028774.1</v>
      </c>
    </row>
    <row r="582" spans="1:7" x14ac:dyDescent="0.35">
      <c r="A582" t="s">
        <v>763</v>
      </c>
      <c r="B582">
        <v>633</v>
      </c>
      <c r="C582">
        <v>703</v>
      </c>
      <c r="D582" s="2">
        <v>0.88</v>
      </c>
      <c r="E582">
        <v>0</v>
      </c>
      <c r="F582">
        <v>49.84</v>
      </c>
      <c r="G582" t="str">
        <f>HYPERLINK("https://www.ncbi.nlm.nih.gov/nucleotide/CP021089.1?report=genbank&amp;log$=nucltop&amp;blast_rank=89&amp;RID=0FZ03ECE016","CP021089.1")</f>
        <v>CP021089.1</v>
      </c>
    </row>
    <row r="583" spans="1:7" x14ac:dyDescent="0.35">
      <c r="A583" t="s">
        <v>375</v>
      </c>
      <c r="B583">
        <v>636</v>
      </c>
      <c r="C583">
        <v>636</v>
      </c>
      <c r="D583" s="2">
        <v>0.88</v>
      </c>
      <c r="E583">
        <v>0</v>
      </c>
      <c r="F583">
        <v>49.76</v>
      </c>
      <c r="G583" t="str">
        <f>HYPERLINK("https://www.ncbi.nlm.nih.gov/nucleotide/XM_018858252.1?report=genbank&amp;log$=nucltop&amp;blast_rank=90&amp;RID=0FZ03ECE016","XM_018858252.1")</f>
        <v>XM_018858252.1</v>
      </c>
    </row>
    <row r="584" spans="1:7" x14ac:dyDescent="0.35">
      <c r="A584" t="s">
        <v>365</v>
      </c>
      <c r="B584">
        <v>637</v>
      </c>
      <c r="C584">
        <v>637</v>
      </c>
      <c r="D584" s="2">
        <v>0.87</v>
      </c>
      <c r="E584">
        <v>0</v>
      </c>
      <c r="F584">
        <v>49.6</v>
      </c>
      <c r="G584" t="str">
        <f>HYPERLINK("https://www.ncbi.nlm.nih.gov/nucleotide/XM_018356934.1?report=genbank&amp;log$=nucltop&amp;blast_rank=91&amp;RID=0FZ03ECE016","XM_018356934.1")</f>
        <v>XM_018356934.1</v>
      </c>
    </row>
    <row r="585" spans="1:7" x14ac:dyDescent="0.35">
      <c r="A585" t="s">
        <v>367</v>
      </c>
      <c r="B585">
        <v>654</v>
      </c>
      <c r="C585">
        <v>709</v>
      </c>
      <c r="D585" s="2">
        <v>0.88</v>
      </c>
      <c r="E585">
        <v>0</v>
      </c>
      <c r="F585">
        <v>49.28</v>
      </c>
      <c r="G585" t="str">
        <f>HYPERLINK("https://www.ncbi.nlm.nih.gov/nucleotide/CU329670.1?report=genbank&amp;log$=nucltop&amp;blast_rank=92&amp;RID=0FZ03ECE016","CU329670.1")</f>
        <v>CU329670.1</v>
      </c>
    </row>
    <row r="586" spans="1:7" x14ac:dyDescent="0.35">
      <c r="A586" t="s">
        <v>366</v>
      </c>
      <c r="B586">
        <v>653</v>
      </c>
      <c r="C586">
        <v>653</v>
      </c>
      <c r="D586" s="2">
        <v>0.88</v>
      </c>
      <c r="E586">
        <v>0</v>
      </c>
      <c r="F586">
        <v>49.28</v>
      </c>
      <c r="G586" t="str">
        <f>HYPERLINK("https://www.ncbi.nlm.nih.gov/nucleotide/NM_001018916.2?report=genbank&amp;log$=nucltop&amp;blast_rank=93&amp;RID=0FZ03ECE016","NM_001018916.2")</f>
        <v>NM_001018916.2</v>
      </c>
    </row>
    <row r="587" spans="1:7" x14ac:dyDescent="0.35">
      <c r="A587" t="s">
        <v>764</v>
      </c>
      <c r="B587">
        <v>635</v>
      </c>
      <c r="C587">
        <v>635</v>
      </c>
      <c r="D587" s="2">
        <v>0.88</v>
      </c>
      <c r="E587">
        <v>0</v>
      </c>
      <c r="F587">
        <v>49.14</v>
      </c>
      <c r="G587" t="str">
        <f>HYPERLINK("https://www.ncbi.nlm.nih.gov/nucleotide/CP034458.1?report=genbank&amp;log$=nucltop&amp;blast_rank=94&amp;RID=0FZ03ECE016","CP034458.1")</f>
        <v>CP034458.1</v>
      </c>
    </row>
    <row r="588" spans="1:7" x14ac:dyDescent="0.35">
      <c r="A588" t="s">
        <v>371</v>
      </c>
      <c r="B588">
        <v>637</v>
      </c>
      <c r="C588">
        <v>637</v>
      </c>
      <c r="D588" s="2">
        <v>0.88</v>
      </c>
      <c r="E588">
        <v>0</v>
      </c>
      <c r="F588">
        <v>48.44</v>
      </c>
      <c r="G588" t="str">
        <f>HYPERLINK("https://www.ncbi.nlm.nih.gov/nucleotide/XM_024857827.1?report=genbank&amp;log$=nucltop&amp;blast_rank=95&amp;RID=0FZ03ECE016","XM_024857827.1")</f>
        <v>XM_024857827.1</v>
      </c>
    </row>
    <row r="589" spans="1:7" x14ac:dyDescent="0.35">
      <c r="A589" t="s">
        <v>369</v>
      </c>
      <c r="B589">
        <v>639</v>
      </c>
      <c r="C589">
        <v>639</v>
      </c>
      <c r="D589" s="2">
        <v>0.88</v>
      </c>
      <c r="E589">
        <v>0</v>
      </c>
      <c r="F589">
        <v>48.34</v>
      </c>
      <c r="G589" t="str">
        <f>HYPERLINK("https://www.ncbi.nlm.nih.gov/nucleotide/XM_002174400.2?report=genbank&amp;log$=nucltop&amp;blast_rank=96&amp;RID=0FZ03ECE016","XM_002174400.2")</f>
        <v>XM_002174400.2</v>
      </c>
    </row>
    <row r="590" spans="1:7" x14ac:dyDescent="0.35">
      <c r="A590" t="s">
        <v>370</v>
      </c>
      <c r="B590">
        <v>639</v>
      </c>
      <c r="C590">
        <v>639</v>
      </c>
      <c r="D590" s="2">
        <v>0.88</v>
      </c>
      <c r="E590">
        <v>0</v>
      </c>
      <c r="F590">
        <v>48.34</v>
      </c>
      <c r="G590" t="str">
        <f>HYPERLINK("https://www.ncbi.nlm.nih.gov/nucleotide/XM_002174399.2?report=genbank&amp;log$=nucltop&amp;blast_rank=97&amp;RID=0FZ03ECE016","XM_002174399.2")</f>
        <v>XM_002174399.2</v>
      </c>
    </row>
    <row r="591" spans="1:7" x14ac:dyDescent="0.35">
      <c r="A591" t="s">
        <v>373</v>
      </c>
      <c r="B591">
        <v>637</v>
      </c>
      <c r="C591">
        <v>637</v>
      </c>
      <c r="D591" s="2">
        <v>0.88</v>
      </c>
      <c r="E591">
        <v>0</v>
      </c>
      <c r="F591">
        <v>48.29</v>
      </c>
      <c r="G591" t="str">
        <f>HYPERLINK("https://www.ncbi.nlm.nih.gov/nucleotide/XM_025486471.1?report=genbank&amp;log$=nucltop&amp;blast_rank=98&amp;RID=0FZ03ECE016","XM_025486471.1")</f>
        <v>XM_025486471.1</v>
      </c>
    </row>
    <row r="592" spans="1:7" x14ac:dyDescent="0.35">
      <c r="A592" t="s">
        <v>372</v>
      </c>
      <c r="B592">
        <v>636</v>
      </c>
      <c r="C592">
        <v>636</v>
      </c>
      <c r="D592" s="2">
        <v>0.88</v>
      </c>
      <c r="E592">
        <v>0</v>
      </c>
      <c r="F592">
        <v>48.29</v>
      </c>
      <c r="G592" t="str">
        <f>HYPERLINK("https://www.ncbi.nlm.nih.gov/nucleotide/XM_025481726.1?report=genbank&amp;log$=nucltop&amp;blast_rank=99&amp;RID=0FZ03ECE016","XM_025481726.1")</f>
        <v>XM_025481726.1</v>
      </c>
    </row>
    <row r="593" spans="1:7" x14ac:dyDescent="0.35">
      <c r="A593" t="s">
        <v>377</v>
      </c>
      <c r="B593">
        <v>634</v>
      </c>
      <c r="C593">
        <v>634</v>
      </c>
      <c r="D593" s="2">
        <v>0.88</v>
      </c>
      <c r="E593">
        <v>0</v>
      </c>
      <c r="F593">
        <v>48.01</v>
      </c>
      <c r="G593" t="str">
        <f>HYPERLINK("https://www.ncbi.nlm.nih.gov/nucleotide/XM_013164463.1?report=genbank&amp;log$=nucltop&amp;blast_rank=100&amp;RID=0FZ03ECE016","XM_013164463.1")</f>
        <v>XM_013164463.1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BED2F-D212-44CD-A33C-F6A31758CB41}">
  <dimension ref="A1:G789"/>
  <sheetViews>
    <sheetView topLeftCell="A287" workbookViewId="0">
      <selection activeCell="A308" sqref="A308"/>
    </sheetView>
  </sheetViews>
  <sheetFormatPr defaultRowHeight="14.5" x14ac:dyDescent="0.35"/>
  <cols>
    <col min="1" max="1" width="88.36328125" bestFit="1" customWidth="1"/>
    <col min="2" max="2" width="9.54296875" bestFit="1" customWidth="1"/>
    <col min="3" max="3" width="10.08984375" bestFit="1" customWidth="1"/>
    <col min="4" max="4" width="11.1796875" bestFit="1" customWidth="1"/>
    <col min="5" max="6" width="9" bestFit="1" customWidth="1"/>
    <col min="7" max="7" width="15.1796875" bestFit="1" customWidth="1"/>
  </cols>
  <sheetData>
    <row r="1" spans="1:7" x14ac:dyDescent="0.35">
      <c r="A1" s="1" t="s">
        <v>771</v>
      </c>
    </row>
    <row r="2" spans="1:7" x14ac:dyDescent="0.35">
      <c r="A2" s="1" t="s">
        <v>922</v>
      </c>
    </row>
    <row r="3" spans="1:7" x14ac:dyDescent="0.3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 x14ac:dyDescent="0.35">
      <c r="A4" t="s">
        <v>9</v>
      </c>
      <c r="B4">
        <v>321</v>
      </c>
      <c r="C4">
        <v>1189</v>
      </c>
      <c r="D4" s="2">
        <v>0.98</v>
      </c>
      <c r="E4">
        <v>0</v>
      </c>
      <c r="F4">
        <v>93.25</v>
      </c>
      <c r="G4" t="str">
        <f>HYPERLINK("https://www.ncbi.nlm.nih.gov/nucleotide/LR732079.1?report=genbank&amp;log$=nucltop&amp;blast_rank=1&amp;RID=GYVHY531013","LR732079.1")</f>
        <v>LR732079.1</v>
      </c>
    </row>
    <row r="5" spans="1:7" x14ac:dyDescent="0.35">
      <c r="A5" t="s">
        <v>10</v>
      </c>
      <c r="B5">
        <v>188</v>
      </c>
      <c r="C5">
        <v>188</v>
      </c>
      <c r="D5" s="2">
        <v>0.18</v>
      </c>
      <c r="E5" s="3">
        <v>1E-52</v>
      </c>
      <c r="F5">
        <v>73.45</v>
      </c>
      <c r="G5" t="str">
        <f>HYPERLINK("https://www.ncbi.nlm.nih.gov/nucleotide/AB551954.1?report=genbank&amp;log$=nucltop&amp;blast_rank=2&amp;RID=GYVHY531013","AB551954.1")</f>
        <v>AB551954.1</v>
      </c>
    </row>
    <row r="6" spans="1:7" x14ac:dyDescent="0.35">
      <c r="A6" t="s">
        <v>473</v>
      </c>
      <c r="B6">
        <v>396</v>
      </c>
      <c r="C6">
        <v>1146</v>
      </c>
      <c r="D6" s="2">
        <v>0.99</v>
      </c>
      <c r="E6" s="3">
        <v>1E-136</v>
      </c>
      <c r="F6">
        <v>61.69</v>
      </c>
      <c r="G6" t="str">
        <f>HYPERLINK("https://www.ncbi.nlm.nih.gov/nucleotide/CP068007.1?report=genbank&amp;log$=nucltop&amp;blast_rank=3&amp;RID=GYVHY531013","CP068007.1")</f>
        <v>CP068007.1</v>
      </c>
    </row>
    <row r="7" spans="1:7" x14ac:dyDescent="0.35">
      <c r="A7" s="4" t="s">
        <v>11</v>
      </c>
      <c r="B7" s="4">
        <v>735</v>
      </c>
      <c r="C7" s="4">
        <v>735</v>
      </c>
      <c r="D7" s="5">
        <v>0.95</v>
      </c>
      <c r="E7" s="4">
        <v>0</v>
      </c>
      <c r="F7" s="4">
        <v>60.53</v>
      </c>
      <c r="G7" s="4" t="str">
        <f>HYPERLINK("https://www.ncbi.nlm.nih.gov/nucleotide/AB551982.1?report=genbank&amp;log$=nucltop&amp;blast_rank=4&amp;RID=GYVHY531013","AB551982.1")</f>
        <v>AB551982.1</v>
      </c>
    </row>
    <row r="8" spans="1:7" x14ac:dyDescent="0.35">
      <c r="A8" t="s">
        <v>12</v>
      </c>
      <c r="B8">
        <v>681</v>
      </c>
      <c r="C8">
        <v>681</v>
      </c>
      <c r="D8" s="2">
        <v>0.89</v>
      </c>
      <c r="E8">
        <v>0</v>
      </c>
      <c r="F8">
        <v>59.68</v>
      </c>
      <c r="G8" t="str">
        <f>HYPERLINK("https://www.ncbi.nlm.nih.gov/nucleotide/XM_036779060.1?report=genbank&amp;log$=nucltop&amp;blast_rank=5&amp;RID=GYVHY531013","XM_036779060.1")</f>
        <v>XM_036779060.1</v>
      </c>
    </row>
    <row r="9" spans="1:7" x14ac:dyDescent="0.35">
      <c r="A9" t="s">
        <v>13</v>
      </c>
      <c r="B9">
        <v>665</v>
      </c>
      <c r="C9">
        <v>665</v>
      </c>
      <c r="D9" s="2">
        <v>0.94</v>
      </c>
      <c r="E9">
        <v>0</v>
      </c>
      <c r="F9">
        <v>56.48</v>
      </c>
      <c r="G9" t="str">
        <f>HYPERLINK("https://www.ncbi.nlm.nih.gov/nucleotide/XM_037359092.1?report=genbank&amp;log$=nucltop&amp;blast_rank=6&amp;RID=GYVHY531013","XM_037359092.1")</f>
        <v>XM_037359092.1</v>
      </c>
    </row>
    <row r="10" spans="1:7" x14ac:dyDescent="0.35">
      <c r="A10" t="s">
        <v>14</v>
      </c>
      <c r="B10">
        <v>690</v>
      </c>
      <c r="C10">
        <v>690</v>
      </c>
      <c r="D10" s="2">
        <v>0.96</v>
      </c>
      <c r="E10">
        <v>0</v>
      </c>
      <c r="F10">
        <v>56.23</v>
      </c>
      <c r="G10" t="str">
        <f>HYPERLINK("https://www.ncbi.nlm.nih.gov/nucleotide/XM_007330301.1?report=genbank&amp;log$=nucltop&amp;blast_rank=7&amp;RID=GYVHY531013","XM_007330301.1")</f>
        <v>XM_007330301.1</v>
      </c>
    </row>
    <row r="11" spans="1:7" x14ac:dyDescent="0.35">
      <c r="A11" t="s">
        <v>15</v>
      </c>
      <c r="B11">
        <v>687</v>
      </c>
      <c r="C11">
        <v>687</v>
      </c>
      <c r="D11" s="2">
        <v>0.96</v>
      </c>
      <c r="E11">
        <v>0</v>
      </c>
      <c r="F11">
        <v>56.23</v>
      </c>
      <c r="G11" t="str">
        <f>HYPERLINK("https://www.ncbi.nlm.nih.gov/nucleotide/XM_006459161.1?report=genbank&amp;log$=nucltop&amp;blast_rank=8&amp;RID=GYVHY531013","XM_006459161.1")</f>
        <v>XM_006459161.1</v>
      </c>
    </row>
    <row r="12" spans="1:7" x14ac:dyDescent="0.35">
      <c r="A12" t="s">
        <v>16</v>
      </c>
      <c r="B12">
        <v>391</v>
      </c>
      <c r="C12">
        <v>1150</v>
      </c>
      <c r="D12" s="2">
        <v>1</v>
      </c>
      <c r="E12" s="3">
        <v>4E-174</v>
      </c>
      <c r="F12">
        <v>56.14</v>
      </c>
      <c r="G12" t="str">
        <f>HYPERLINK("https://www.ncbi.nlm.nih.gov/nucleotide/CP039877.1?report=genbank&amp;log$=nucltop&amp;blast_rank=9&amp;RID=GYVHY531013","CP039877.1")</f>
        <v>CP039877.1</v>
      </c>
    </row>
    <row r="13" spans="1:7" x14ac:dyDescent="0.35">
      <c r="A13" t="s">
        <v>17</v>
      </c>
      <c r="B13">
        <v>391</v>
      </c>
      <c r="C13">
        <v>1150</v>
      </c>
      <c r="D13" s="2">
        <v>1</v>
      </c>
      <c r="E13" s="3">
        <v>4E-174</v>
      </c>
      <c r="F13">
        <v>56.14</v>
      </c>
      <c r="G13" t="str">
        <f>HYPERLINK("https://www.ncbi.nlm.nih.gov/nucleotide/CP015461.1?report=genbank&amp;log$=nucltop&amp;blast_rank=10&amp;RID=GYVHY531013","CP015461.1")</f>
        <v>CP015461.1</v>
      </c>
    </row>
    <row r="14" spans="1:7" x14ac:dyDescent="0.35">
      <c r="A14" t="s">
        <v>18</v>
      </c>
      <c r="B14">
        <v>391</v>
      </c>
      <c r="C14">
        <v>1150</v>
      </c>
      <c r="D14" s="2">
        <v>1</v>
      </c>
      <c r="E14" s="3">
        <v>4E-174</v>
      </c>
      <c r="F14">
        <v>56.14</v>
      </c>
      <c r="G14" t="str">
        <f>HYPERLINK("https://www.ncbi.nlm.nih.gov/nucleotide/CP015474.1?report=genbank&amp;log$=nucltop&amp;blast_rank=11&amp;RID=GYVHY531013","CP015474.1")</f>
        <v>CP015474.1</v>
      </c>
    </row>
    <row r="15" spans="1:7" x14ac:dyDescent="0.35">
      <c r="A15" t="s">
        <v>19</v>
      </c>
      <c r="B15">
        <v>650</v>
      </c>
      <c r="C15">
        <v>650</v>
      </c>
      <c r="D15" s="2">
        <v>0.94</v>
      </c>
      <c r="E15">
        <v>0</v>
      </c>
      <c r="F15">
        <v>53.45</v>
      </c>
      <c r="G15" t="str">
        <f>HYPERLINK("https://www.ncbi.nlm.nih.gov/nucleotide/XM_001880889.1?report=genbank&amp;log$=nucltop&amp;blast_rank=12&amp;RID=GYVHY531013","XM_001880889.1")</f>
        <v>XM_001880889.1</v>
      </c>
    </row>
    <row r="16" spans="1:7" x14ac:dyDescent="0.35">
      <c r="A16" s="4" t="s">
        <v>20</v>
      </c>
      <c r="B16" s="4">
        <v>176</v>
      </c>
      <c r="C16" s="4">
        <v>420</v>
      </c>
      <c r="D16" s="5">
        <v>0.95</v>
      </c>
      <c r="E16" s="6">
        <v>9.999999999999999E-94</v>
      </c>
      <c r="F16" s="4">
        <v>52.56</v>
      </c>
      <c r="G16" s="4" t="str">
        <f>HYPERLINK("https://www.ncbi.nlm.nih.gov/nucleotide/KJ999702.1?report=genbank&amp;log$=nucltop&amp;blast_rank=13&amp;RID=GYVHY531013","KJ999702.1")</f>
        <v>KJ999702.1</v>
      </c>
    </row>
    <row r="17" spans="1:7" x14ac:dyDescent="0.35">
      <c r="A17" t="s">
        <v>21</v>
      </c>
      <c r="B17">
        <v>608</v>
      </c>
      <c r="C17">
        <v>608</v>
      </c>
      <c r="D17" s="2">
        <v>0.95</v>
      </c>
      <c r="E17">
        <v>0</v>
      </c>
      <c r="F17">
        <v>50</v>
      </c>
      <c r="G17" t="str">
        <f>HYPERLINK("https://www.ncbi.nlm.nih.gov/nucleotide/XM_009546986.1?report=genbank&amp;log$=nucltop&amp;blast_rank=14&amp;RID=GYVHY531013","XM_009546986.1")</f>
        <v>XM_009546986.1</v>
      </c>
    </row>
    <row r="18" spans="1:7" x14ac:dyDescent="0.35">
      <c r="A18" t="s">
        <v>22</v>
      </c>
      <c r="B18">
        <v>483</v>
      </c>
      <c r="C18">
        <v>483</v>
      </c>
      <c r="D18" s="2">
        <v>0.87</v>
      </c>
      <c r="E18" s="3">
        <v>2.0000000000000001E-161</v>
      </c>
      <c r="F18">
        <v>48.67</v>
      </c>
      <c r="G18" t="str">
        <f>HYPERLINK("https://www.ncbi.nlm.nih.gov/nucleotide/XM_001836369.2?report=genbank&amp;log$=nucltop&amp;blast_rank=15&amp;RID=GYVHY531013","XM_001836369.2")</f>
        <v>XM_001836369.2</v>
      </c>
    </row>
    <row r="19" spans="1:7" x14ac:dyDescent="0.35">
      <c r="A19" t="s">
        <v>24</v>
      </c>
      <c r="B19">
        <v>508</v>
      </c>
      <c r="C19">
        <v>508</v>
      </c>
      <c r="D19" s="2">
        <v>0.94</v>
      </c>
      <c r="E19" s="3">
        <v>2E-169</v>
      </c>
      <c r="F19">
        <v>43.99</v>
      </c>
      <c r="G19" t="str">
        <f>HYPERLINK("https://www.ncbi.nlm.nih.gov/nucleotide/XM_037359093.1?report=genbank&amp;log$=nucltop&amp;blast_rank=16&amp;RID=GYVHY531013","XM_037359093.1")</f>
        <v>XM_037359093.1</v>
      </c>
    </row>
    <row r="20" spans="1:7" x14ac:dyDescent="0.35">
      <c r="A20" t="s">
        <v>27</v>
      </c>
      <c r="B20">
        <v>173</v>
      </c>
      <c r="C20">
        <v>393</v>
      </c>
      <c r="D20" s="2">
        <v>0.95</v>
      </c>
      <c r="E20" s="3">
        <v>3.0000000000000001E-92</v>
      </c>
      <c r="F20">
        <v>43.92</v>
      </c>
      <c r="G20" t="str">
        <f>HYPERLINK("https://www.ncbi.nlm.nih.gov/nucleotide/CP031830.1?report=genbank&amp;log$=nucltop&amp;blast_rank=17&amp;RID=GYVHY531013","CP031830.1")</f>
        <v>CP031830.1</v>
      </c>
    </row>
    <row r="21" spans="1:7" x14ac:dyDescent="0.35">
      <c r="A21" t="s">
        <v>28</v>
      </c>
      <c r="B21">
        <v>173</v>
      </c>
      <c r="C21">
        <v>393</v>
      </c>
      <c r="D21" s="2">
        <v>0.95</v>
      </c>
      <c r="E21" s="3">
        <v>3.0000000000000001E-92</v>
      </c>
      <c r="F21">
        <v>43.92</v>
      </c>
      <c r="G21" t="str">
        <f>HYPERLINK("https://www.ncbi.nlm.nih.gov/nucleotide/LK023335.1?report=genbank&amp;log$=nucltop&amp;blast_rank=18&amp;RID=GYVHY531013","LK023335.1")</f>
        <v>LK023335.1</v>
      </c>
    </row>
    <row r="22" spans="1:7" x14ac:dyDescent="0.35">
      <c r="A22" t="s">
        <v>30</v>
      </c>
      <c r="B22">
        <v>182</v>
      </c>
      <c r="C22">
        <v>332</v>
      </c>
      <c r="D22" s="2">
        <v>0.64</v>
      </c>
      <c r="E22" s="3">
        <v>3.0000000000000001E-80</v>
      </c>
      <c r="F22">
        <v>43.59</v>
      </c>
      <c r="G22" t="str">
        <f>HYPERLINK("https://www.ncbi.nlm.nih.gov/nucleotide/CP031825.1?report=genbank&amp;log$=nucltop&amp;blast_rank=19&amp;RID=GYVHY531013","CP031825.1")</f>
        <v>CP031825.1</v>
      </c>
    </row>
    <row r="23" spans="1:7" x14ac:dyDescent="0.35">
      <c r="A23" t="s">
        <v>31</v>
      </c>
      <c r="B23">
        <v>182</v>
      </c>
      <c r="C23">
        <v>332</v>
      </c>
      <c r="D23" s="2">
        <v>0.64</v>
      </c>
      <c r="E23" s="3">
        <v>3.0000000000000001E-80</v>
      </c>
      <c r="F23">
        <v>43.59</v>
      </c>
      <c r="G23" t="str">
        <f>HYPERLINK("https://www.ncbi.nlm.nih.gov/nucleotide/LK023313.1?report=genbank&amp;log$=nucltop&amp;blast_rank=20&amp;RID=GYVHY531013","LK023313.1")</f>
        <v>LK023313.1</v>
      </c>
    </row>
    <row r="24" spans="1:7" x14ac:dyDescent="0.35">
      <c r="A24" t="s">
        <v>23</v>
      </c>
      <c r="B24">
        <v>482</v>
      </c>
      <c r="C24">
        <v>482</v>
      </c>
      <c r="D24" s="2">
        <v>0.95</v>
      </c>
      <c r="E24" s="3">
        <v>3E-157</v>
      </c>
      <c r="F24">
        <v>43.43</v>
      </c>
      <c r="G24" t="str">
        <f>HYPERLINK("https://www.ncbi.nlm.nih.gov/nucleotide/XM_007300021.1?report=genbank&amp;log$=nucltop&amp;blast_rank=21&amp;RID=GYVHY531013","XM_007300021.1")</f>
        <v>XM_007300021.1</v>
      </c>
    </row>
    <row r="25" spans="1:7" x14ac:dyDescent="0.35">
      <c r="A25" t="s">
        <v>29</v>
      </c>
      <c r="B25">
        <v>493</v>
      </c>
      <c r="C25">
        <v>493</v>
      </c>
      <c r="D25" s="2">
        <v>0.96</v>
      </c>
      <c r="E25" s="3">
        <v>9.9999999999999992E-164</v>
      </c>
      <c r="F25">
        <v>42.9</v>
      </c>
      <c r="G25" t="str">
        <f>HYPERLINK("https://www.ncbi.nlm.nih.gov/nucleotide/XM_036779059.1?report=genbank&amp;log$=nucltop&amp;blast_rank=22&amp;RID=GYVHY531013","XM_036779059.1")</f>
        <v>XM_036779059.1</v>
      </c>
    </row>
    <row r="26" spans="1:7" x14ac:dyDescent="0.35">
      <c r="A26" t="s">
        <v>25</v>
      </c>
      <c r="B26">
        <v>506</v>
      </c>
      <c r="C26">
        <v>506</v>
      </c>
      <c r="D26" s="2">
        <v>0.98</v>
      </c>
      <c r="E26" s="3">
        <v>1E-168</v>
      </c>
      <c r="F26">
        <v>42.47</v>
      </c>
      <c r="G26" t="str">
        <f>HYPERLINK("https://www.ncbi.nlm.nih.gov/nucleotide/XM_007330400.1?report=genbank&amp;log$=nucltop&amp;blast_rank=23&amp;RID=GYVHY531013","XM_007330400.1")</f>
        <v>XM_007330400.1</v>
      </c>
    </row>
    <row r="27" spans="1:7" x14ac:dyDescent="0.35">
      <c r="A27" t="s">
        <v>26</v>
      </c>
      <c r="B27">
        <v>505</v>
      </c>
      <c r="C27">
        <v>505</v>
      </c>
      <c r="D27" s="2">
        <v>0.98</v>
      </c>
      <c r="E27" s="3">
        <v>2.9999999999999999E-168</v>
      </c>
      <c r="F27">
        <v>42.31</v>
      </c>
      <c r="G27" t="str">
        <f>HYPERLINK("https://www.ncbi.nlm.nih.gov/nucleotide/XM_006459162.1?report=genbank&amp;log$=nucltop&amp;blast_rank=24&amp;RID=GYVHY531013","XM_006459162.1")</f>
        <v>XM_006459162.1</v>
      </c>
    </row>
    <row r="28" spans="1:7" x14ac:dyDescent="0.35">
      <c r="A28" t="s">
        <v>21</v>
      </c>
      <c r="B28">
        <v>478</v>
      </c>
      <c r="C28">
        <v>478</v>
      </c>
      <c r="D28" s="2">
        <v>0.96</v>
      </c>
      <c r="E28" s="3">
        <v>5.0000000000000002E-157</v>
      </c>
      <c r="F28">
        <v>41.18</v>
      </c>
      <c r="G28" t="str">
        <f>HYPERLINK("https://www.ncbi.nlm.nih.gov/nucleotide/XM_009546985.1?report=genbank&amp;log$=nucltop&amp;blast_rank=25&amp;RID=GYVHY531013","XM_009546985.1")</f>
        <v>XM_009546985.1</v>
      </c>
    </row>
    <row r="29" spans="1:7" x14ac:dyDescent="0.35">
      <c r="A29" t="s">
        <v>772</v>
      </c>
      <c r="B29">
        <v>445</v>
      </c>
      <c r="C29">
        <v>445</v>
      </c>
      <c r="D29" s="2">
        <v>0.95</v>
      </c>
      <c r="E29" s="3">
        <v>2.0000000000000001E-142</v>
      </c>
      <c r="F29">
        <v>40.69</v>
      </c>
      <c r="G29" t="str">
        <f>HYPERLINK("https://www.ncbi.nlm.nih.gov/nucleotide/XM_040776151.1?report=genbank&amp;log$=nucltop&amp;blast_rank=26&amp;RID=GYVHY531013","XM_040776151.1")</f>
        <v>XM_040776151.1</v>
      </c>
    </row>
    <row r="30" spans="1:7" x14ac:dyDescent="0.35">
      <c r="A30" t="s">
        <v>32</v>
      </c>
      <c r="B30">
        <v>460</v>
      </c>
      <c r="C30">
        <v>460</v>
      </c>
      <c r="D30" s="2">
        <v>0.95</v>
      </c>
      <c r="E30" s="3">
        <v>4.9999999999999999E-148</v>
      </c>
      <c r="F30">
        <v>40.630000000000003</v>
      </c>
      <c r="G30" t="str">
        <f>HYPERLINK("https://www.ncbi.nlm.nih.gov/nucleotide/XM_018429091.1?report=genbank&amp;log$=nucltop&amp;blast_rank=27&amp;RID=GYVHY531013","XM_018429091.1")</f>
        <v>XM_018429091.1</v>
      </c>
    </row>
    <row r="31" spans="1:7" x14ac:dyDescent="0.35">
      <c r="A31" t="s">
        <v>33</v>
      </c>
      <c r="B31">
        <v>465</v>
      </c>
      <c r="C31">
        <v>465</v>
      </c>
      <c r="D31" s="2">
        <v>0.95</v>
      </c>
      <c r="E31" s="3">
        <v>4.0000000000000003E-152</v>
      </c>
      <c r="F31">
        <v>39.94</v>
      </c>
      <c r="G31" t="str">
        <f>HYPERLINK("https://www.ncbi.nlm.nih.gov/nucleotide/XM_007300020.1?report=genbank&amp;log$=nucltop&amp;blast_rank=28&amp;RID=GYVHY531013","XM_007300020.1")</f>
        <v>XM_007300020.1</v>
      </c>
    </row>
    <row r="32" spans="1:7" x14ac:dyDescent="0.35">
      <c r="A32" t="s">
        <v>19</v>
      </c>
      <c r="B32">
        <v>464</v>
      </c>
      <c r="C32">
        <v>464</v>
      </c>
      <c r="D32" s="2">
        <v>0.95</v>
      </c>
      <c r="E32" s="3">
        <v>1.0000000000000001E-152</v>
      </c>
      <c r="F32">
        <v>39.479999999999997</v>
      </c>
      <c r="G32" t="str">
        <f>HYPERLINK("https://www.ncbi.nlm.nih.gov/nucleotide/XM_001880890.1?report=genbank&amp;log$=nucltop&amp;blast_rank=29&amp;RID=GYVHY531013","XM_001880890.1")</f>
        <v>XM_001880890.1</v>
      </c>
    </row>
    <row r="33" spans="1:7" x14ac:dyDescent="0.35">
      <c r="A33" t="s">
        <v>34</v>
      </c>
      <c r="B33">
        <v>444</v>
      </c>
      <c r="C33">
        <v>444</v>
      </c>
      <c r="D33" s="2">
        <v>0.95</v>
      </c>
      <c r="E33" s="3">
        <v>7.9999999999999993E-145</v>
      </c>
      <c r="F33">
        <v>39.299999999999997</v>
      </c>
      <c r="G33" t="str">
        <f>HYPERLINK("https://www.ncbi.nlm.nih.gov/nucleotide/XM_001836368.2?report=genbank&amp;log$=nucltop&amp;blast_rank=30&amp;RID=GYVHY531013","XM_001836368.2")</f>
        <v>XM_001836368.2</v>
      </c>
    </row>
    <row r="34" spans="1:7" x14ac:dyDescent="0.35">
      <c r="A34" t="s">
        <v>35</v>
      </c>
      <c r="B34">
        <v>435</v>
      </c>
      <c r="C34">
        <v>435</v>
      </c>
      <c r="D34" s="2">
        <v>0.95</v>
      </c>
      <c r="E34" s="3">
        <v>2.9999999999999998E-141</v>
      </c>
      <c r="F34">
        <v>39.03</v>
      </c>
      <c r="G34" t="str">
        <f>HYPERLINK("https://www.ncbi.nlm.nih.gov/nucleotide/XM_023610462.1?report=genbank&amp;log$=nucltop&amp;blast_rank=31&amp;RID=GYVHY531013","XM_023610462.1")</f>
        <v>XM_023610462.1</v>
      </c>
    </row>
    <row r="35" spans="1:7" x14ac:dyDescent="0.35">
      <c r="A35" t="s">
        <v>36</v>
      </c>
      <c r="B35">
        <v>107</v>
      </c>
      <c r="C35">
        <v>186</v>
      </c>
      <c r="D35" s="2">
        <v>0.65</v>
      </c>
      <c r="E35" s="3">
        <v>1.9999999999999999E-36</v>
      </c>
      <c r="F35">
        <v>37.28</v>
      </c>
      <c r="G35" t="str">
        <f>HYPERLINK("https://www.ncbi.nlm.nih.gov/nucleotide/AM270105.1?report=genbank&amp;log$=nucltop&amp;blast_rank=32&amp;RID=GYVHY531013","AM270105.1")</f>
        <v>AM270105.1</v>
      </c>
    </row>
    <row r="36" spans="1:7" x14ac:dyDescent="0.35">
      <c r="A36" t="s">
        <v>37</v>
      </c>
      <c r="B36">
        <v>314</v>
      </c>
      <c r="C36">
        <v>314</v>
      </c>
      <c r="D36" s="2">
        <v>0.91</v>
      </c>
      <c r="E36" s="3">
        <v>9.9999999999999993E-89</v>
      </c>
      <c r="F36">
        <v>36.47</v>
      </c>
      <c r="G36" t="str">
        <f>HYPERLINK("https://www.ncbi.nlm.nih.gov/nucleotide/LR732085.1?report=genbank&amp;log$=nucltop&amp;blast_rank=33&amp;RID=GYVHY531013","LR732085.1")</f>
        <v>LR732085.1</v>
      </c>
    </row>
    <row r="37" spans="1:7" x14ac:dyDescent="0.35">
      <c r="A37" t="s">
        <v>38</v>
      </c>
      <c r="B37">
        <v>176</v>
      </c>
      <c r="C37">
        <v>176</v>
      </c>
      <c r="D37" s="2">
        <v>0.48</v>
      </c>
      <c r="E37" s="3">
        <v>8.9999999999999997E-45</v>
      </c>
      <c r="F37">
        <v>35.94</v>
      </c>
      <c r="G37" t="str">
        <f>HYPERLINK("https://www.ncbi.nlm.nih.gov/nucleotide/XM_001221435.1?report=genbank&amp;log$=nucltop&amp;blast_rank=34&amp;RID=GYVHY531013","XM_001221435.1")</f>
        <v>XM_001221435.1</v>
      </c>
    </row>
    <row r="38" spans="1:7" x14ac:dyDescent="0.35">
      <c r="A38" t="s">
        <v>773</v>
      </c>
      <c r="B38">
        <v>222</v>
      </c>
      <c r="C38">
        <v>222</v>
      </c>
      <c r="D38" s="2">
        <v>0.66</v>
      </c>
      <c r="E38" s="3">
        <v>3.9999999999999999E-60</v>
      </c>
      <c r="F38">
        <v>35.65</v>
      </c>
      <c r="G38" t="str">
        <f>HYPERLINK("https://www.ncbi.nlm.nih.gov/nucleotide/XM_040828146.1?report=genbank&amp;log$=nucltop&amp;blast_rank=35&amp;RID=GYVHY531013","XM_040828146.1")</f>
        <v>XM_040828146.1</v>
      </c>
    </row>
    <row r="39" spans="1:7" x14ac:dyDescent="0.35">
      <c r="A39" t="s">
        <v>39</v>
      </c>
      <c r="B39">
        <v>352</v>
      </c>
      <c r="C39">
        <v>352</v>
      </c>
      <c r="D39" s="2">
        <v>0.95</v>
      </c>
      <c r="E39" s="3">
        <v>6.0000000000000004E-109</v>
      </c>
      <c r="F39">
        <v>35.25</v>
      </c>
      <c r="G39" t="str">
        <f>HYPERLINK("https://www.ncbi.nlm.nih.gov/nucleotide/XM_025316703.1?report=genbank&amp;log$=nucltop&amp;blast_rank=36&amp;RID=GYVHY531013","XM_025316703.1")</f>
        <v>XM_025316703.1</v>
      </c>
    </row>
    <row r="40" spans="1:7" x14ac:dyDescent="0.35">
      <c r="A40" t="s">
        <v>774</v>
      </c>
      <c r="B40">
        <v>100</v>
      </c>
      <c r="C40">
        <v>177</v>
      </c>
      <c r="D40" s="2">
        <v>0.64</v>
      </c>
      <c r="E40" s="3">
        <v>9.0000000000000008E-34</v>
      </c>
      <c r="F40">
        <v>35</v>
      </c>
      <c r="G40" t="str">
        <f>HYPERLINK("https://www.ncbi.nlm.nih.gov/nucleotide/AP024441.1?report=genbank&amp;log$=nucltop&amp;blast_rank=37&amp;RID=GYVHY531013","AP024441.1")</f>
        <v>AP024441.1</v>
      </c>
    </row>
    <row r="41" spans="1:7" x14ac:dyDescent="0.35">
      <c r="A41" t="s">
        <v>775</v>
      </c>
      <c r="B41">
        <v>100</v>
      </c>
      <c r="C41">
        <v>177</v>
      </c>
      <c r="D41" s="2">
        <v>0.64</v>
      </c>
      <c r="E41" s="3">
        <v>9.0000000000000008E-34</v>
      </c>
      <c r="F41">
        <v>35</v>
      </c>
      <c r="G41" t="str">
        <f>HYPERLINK("https://www.ncbi.nlm.nih.gov/nucleotide/AP024432.1?report=genbank&amp;log$=nucltop&amp;blast_rank=38&amp;RID=GYVHY531013","AP024432.1")</f>
        <v>AP024432.1</v>
      </c>
    </row>
    <row r="42" spans="1:7" x14ac:dyDescent="0.35">
      <c r="A42" t="s">
        <v>776</v>
      </c>
      <c r="B42">
        <v>301</v>
      </c>
      <c r="C42">
        <v>301</v>
      </c>
      <c r="D42" s="2">
        <v>0.94</v>
      </c>
      <c r="E42" s="3">
        <v>1.9999999999999999E-88</v>
      </c>
      <c r="F42">
        <v>33.99</v>
      </c>
      <c r="G42" t="str">
        <f>HYPERLINK("https://www.ncbi.nlm.nih.gov/nucleotide/XM_040887042.1?report=genbank&amp;log$=nucltop&amp;blast_rank=39&amp;RID=GYVHY531013","XM_040887042.1")</f>
        <v>XM_040887042.1</v>
      </c>
    </row>
    <row r="43" spans="1:7" x14ac:dyDescent="0.35">
      <c r="A43" t="s">
        <v>45</v>
      </c>
      <c r="B43">
        <v>201</v>
      </c>
      <c r="C43">
        <v>201</v>
      </c>
      <c r="D43" s="2">
        <v>0.68</v>
      </c>
      <c r="E43" s="3">
        <v>6.9999999999999999E-53</v>
      </c>
      <c r="F43">
        <v>33.94</v>
      </c>
      <c r="G43" t="str">
        <f>HYPERLINK("https://www.ncbi.nlm.nih.gov/nucleotide/XM_007926421.1?report=genbank&amp;log$=nucltop&amp;blast_rank=40&amp;RID=GYVHY531013","XM_007926421.1")</f>
        <v>XM_007926421.1</v>
      </c>
    </row>
    <row r="44" spans="1:7" x14ac:dyDescent="0.35">
      <c r="A44" s="4" t="s">
        <v>44</v>
      </c>
      <c r="B44" s="4">
        <v>178</v>
      </c>
      <c r="C44" s="4">
        <v>178</v>
      </c>
      <c r="D44" s="5">
        <v>0.61</v>
      </c>
      <c r="E44" s="6">
        <v>2E-45</v>
      </c>
      <c r="F44" s="4">
        <v>33.5</v>
      </c>
      <c r="G44" s="4" t="str">
        <f>HYPERLINK("https://www.ncbi.nlm.nih.gov/nucleotide/XM_033572072.1?report=genbank&amp;log$=nucltop&amp;blast_rank=41&amp;RID=GYVHY531013","XM_033572072.1")</f>
        <v>XM_033572072.1</v>
      </c>
    </row>
    <row r="45" spans="1:7" x14ac:dyDescent="0.35">
      <c r="A45" s="4" t="s">
        <v>41</v>
      </c>
      <c r="B45" s="4">
        <v>185</v>
      </c>
      <c r="C45" s="4">
        <v>185</v>
      </c>
      <c r="D45" s="5">
        <v>0.66</v>
      </c>
      <c r="E45" s="6">
        <v>6.0000000000000003E-47</v>
      </c>
      <c r="F45" s="4">
        <v>33.33</v>
      </c>
      <c r="G45" s="4" t="str">
        <f>HYPERLINK("https://www.ncbi.nlm.nih.gov/nucleotide/XM_032045412.1?report=genbank&amp;log$=nucltop&amp;blast_rank=42&amp;RID=GYVHY531013","XM_032045412.1")</f>
        <v>XM_032045412.1</v>
      </c>
    </row>
    <row r="46" spans="1:7" x14ac:dyDescent="0.35">
      <c r="A46" t="s">
        <v>52</v>
      </c>
      <c r="B46">
        <v>140</v>
      </c>
      <c r="C46">
        <v>140</v>
      </c>
      <c r="D46" s="2">
        <v>0.52</v>
      </c>
      <c r="E46" s="3">
        <v>1.0000000000000001E-32</v>
      </c>
      <c r="F46">
        <v>33.130000000000003</v>
      </c>
      <c r="G46" t="str">
        <f>HYPERLINK("https://www.ncbi.nlm.nih.gov/nucleotide/XM_003857413.1?report=genbank&amp;log$=nucltop&amp;blast_rank=43&amp;RID=GYVHY531013","XM_003857413.1")</f>
        <v>XM_003857413.1</v>
      </c>
    </row>
    <row r="47" spans="1:7" x14ac:dyDescent="0.35">
      <c r="A47" t="s">
        <v>777</v>
      </c>
      <c r="B47">
        <v>234</v>
      </c>
      <c r="C47">
        <v>234</v>
      </c>
      <c r="D47" s="2">
        <v>0.73</v>
      </c>
      <c r="E47" s="3">
        <v>1.9999999999999998E-65</v>
      </c>
      <c r="F47">
        <v>32.840000000000003</v>
      </c>
      <c r="G47" t="str">
        <f>HYPERLINK("https://www.ncbi.nlm.nih.gov/nucleotide/XM_040884745.1?report=genbank&amp;log$=nucltop&amp;blast_rank=44&amp;RID=GYVHY531013","XM_040884745.1")</f>
        <v>XM_040884745.1</v>
      </c>
    </row>
    <row r="48" spans="1:7" x14ac:dyDescent="0.35">
      <c r="A48" t="s">
        <v>491</v>
      </c>
      <c r="B48">
        <v>186</v>
      </c>
      <c r="C48">
        <v>186</v>
      </c>
      <c r="D48" s="2">
        <v>0.66</v>
      </c>
      <c r="E48" s="3">
        <v>3.9999999999999999E-47</v>
      </c>
      <c r="F48">
        <v>32.64</v>
      </c>
      <c r="G48" t="str">
        <f>HYPERLINK("https://www.ncbi.nlm.nih.gov/nucleotide/XM_039068458.1?report=genbank&amp;log$=nucltop&amp;blast_rank=45&amp;RID=GYVHY531013","XM_039068458.1")</f>
        <v>XM_039068458.1</v>
      </c>
    </row>
    <row r="49" spans="1:7" x14ac:dyDescent="0.35">
      <c r="A49" t="s">
        <v>48</v>
      </c>
      <c r="B49">
        <v>193</v>
      </c>
      <c r="C49">
        <v>193</v>
      </c>
      <c r="D49" s="2">
        <v>0.68</v>
      </c>
      <c r="E49" s="3">
        <v>9.9999999999999997E-49</v>
      </c>
      <c r="F49">
        <v>32.619999999999997</v>
      </c>
      <c r="G49" t="str">
        <f>HYPERLINK("https://www.ncbi.nlm.nih.gov/nucleotide/XM_009499650.1?report=genbank&amp;log$=nucltop&amp;blast_rank=46&amp;RID=GYVHY531013","XM_009499650.1")</f>
        <v>XM_009499650.1</v>
      </c>
    </row>
    <row r="50" spans="1:7" x14ac:dyDescent="0.35">
      <c r="A50" t="s">
        <v>778</v>
      </c>
      <c r="B50">
        <v>144</v>
      </c>
      <c r="C50">
        <v>174</v>
      </c>
      <c r="D50" s="2">
        <v>0.64</v>
      </c>
      <c r="E50" s="3">
        <v>4.0000000000000002E-33</v>
      </c>
      <c r="F50">
        <v>32.61</v>
      </c>
      <c r="G50" t="str">
        <f>HYPERLINK("https://www.ncbi.nlm.nih.gov/nucleotide/CP051570.1?report=genbank&amp;log$=nucltop&amp;blast_rank=47&amp;RID=GYVHY531013","CP051570.1")</f>
        <v>CP051570.1</v>
      </c>
    </row>
    <row r="51" spans="1:7" x14ac:dyDescent="0.35">
      <c r="A51" t="s">
        <v>779</v>
      </c>
      <c r="B51">
        <v>144</v>
      </c>
      <c r="C51">
        <v>174</v>
      </c>
      <c r="D51" s="2">
        <v>0.64</v>
      </c>
      <c r="E51" s="3">
        <v>4.0000000000000002E-33</v>
      </c>
      <c r="F51">
        <v>32.61</v>
      </c>
      <c r="G51" t="str">
        <f>HYPERLINK("https://www.ncbi.nlm.nih.gov/nucleotide/CP051550.1?report=genbank&amp;log$=nucltop&amp;blast_rank=48&amp;RID=GYVHY531013","CP051550.1")</f>
        <v>CP051550.1</v>
      </c>
    </row>
    <row r="52" spans="1:7" x14ac:dyDescent="0.35">
      <c r="A52" t="s">
        <v>54</v>
      </c>
      <c r="B52">
        <v>144</v>
      </c>
      <c r="C52">
        <v>172</v>
      </c>
      <c r="D52" s="2">
        <v>0.64</v>
      </c>
      <c r="E52" s="3">
        <v>2.0000000000000001E-32</v>
      </c>
      <c r="F52">
        <v>32.61</v>
      </c>
      <c r="G52" t="str">
        <f>HYPERLINK("https://www.ncbi.nlm.nih.gov/nucleotide/LT853692.1?report=genbank&amp;log$=nucltop&amp;blast_rank=49&amp;RID=GYVHY531013","LT853692.1")</f>
        <v>LT853692.1</v>
      </c>
    </row>
    <row r="53" spans="1:7" x14ac:dyDescent="0.35">
      <c r="A53" t="s">
        <v>780</v>
      </c>
      <c r="B53">
        <v>144</v>
      </c>
      <c r="C53">
        <v>144</v>
      </c>
      <c r="D53" s="2">
        <v>0.56999999999999995</v>
      </c>
      <c r="E53" s="3">
        <v>2.9999999999999998E-31</v>
      </c>
      <c r="F53">
        <v>32.61</v>
      </c>
      <c r="G53" t="str">
        <f>HYPERLINK("https://www.ncbi.nlm.nih.gov/nucleotide/CP051589.1?report=genbank&amp;log$=nucltop&amp;blast_rank=50&amp;RID=GYVHY531013","CP051589.1")</f>
        <v>CP051589.1</v>
      </c>
    </row>
    <row r="54" spans="1:7" x14ac:dyDescent="0.35">
      <c r="A54" t="s">
        <v>42</v>
      </c>
      <c r="B54">
        <v>189</v>
      </c>
      <c r="C54">
        <v>189</v>
      </c>
      <c r="D54" s="2">
        <v>0.66</v>
      </c>
      <c r="E54" s="3">
        <v>3.9999999999999999E-48</v>
      </c>
      <c r="F54">
        <v>32.57</v>
      </c>
      <c r="G54" t="str">
        <f>HYPERLINK("https://www.ncbi.nlm.nih.gov/nucleotide/XM_015554209.1?report=genbank&amp;log$=nucltop&amp;blast_rank=51&amp;RID=GYVHY531013","XM_015554209.1")</f>
        <v>XM_015554209.1</v>
      </c>
    </row>
    <row r="55" spans="1:7" x14ac:dyDescent="0.35">
      <c r="A55" t="s">
        <v>43</v>
      </c>
      <c r="B55">
        <v>181</v>
      </c>
      <c r="C55">
        <v>181</v>
      </c>
      <c r="D55" s="2">
        <v>0.71</v>
      </c>
      <c r="E55" s="3">
        <v>2E-45</v>
      </c>
      <c r="F55">
        <v>32.4</v>
      </c>
      <c r="G55" t="str">
        <f>HYPERLINK("https://www.ncbi.nlm.nih.gov/nucleotide/XM_022549209.1?report=genbank&amp;log$=nucltop&amp;blast_rank=52&amp;RID=GYVHY531013","XM_022549209.1")</f>
        <v>XM_022549209.1</v>
      </c>
    </row>
    <row r="56" spans="1:7" x14ac:dyDescent="0.35">
      <c r="A56" t="s">
        <v>40</v>
      </c>
      <c r="B56">
        <v>188</v>
      </c>
      <c r="C56">
        <v>188</v>
      </c>
      <c r="D56" s="2">
        <v>0.66</v>
      </c>
      <c r="E56" s="3">
        <v>4.9999999999999999E-48</v>
      </c>
      <c r="F56">
        <v>32.35</v>
      </c>
      <c r="G56" t="str">
        <f>HYPERLINK("https://www.ncbi.nlm.nih.gov/nucleotide/XM_022531473.1?report=genbank&amp;log$=nucltop&amp;blast_rank=53&amp;RID=GYVHY531013","XM_022531473.1")</f>
        <v>XM_022531473.1</v>
      </c>
    </row>
    <row r="57" spans="1:7" x14ac:dyDescent="0.35">
      <c r="A57" t="s">
        <v>49</v>
      </c>
      <c r="B57">
        <v>154</v>
      </c>
      <c r="C57">
        <v>154</v>
      </c>
      <c r="D57" s="2">
        <v>0.61</v>
      </c>
      <c r="E57" s="3">
        <v>3.9999999999999998E-36</v>
      </c>
      <c r="F57">
        <v>32.32</v>
      </c>
      <c r="G57" t="str">
        <f>HYPERLINK("https://www.ncbi.nlm.nih.gov/nucleotide/XM_001217916.1?report=genbank&amp;log$=nucltop&amp;blast_rank=54&amp;RID=GYVHY531013","XM_001217916.1")</f>
        <v>XM_001217916.1</v>
      </c>
    </row>
    <row r="58" spans="1:7" x14ac:dyDescent="0.35">
      <c r="A58" s="4" t="s">
        <v>50</v>
      </c>
      <c r="B58" s="4">
        <v>194</v>
      </c>
      <c r="C58" s="4">
        <v>194</v>
      </c>
      <c r="D58" s="5">
        <v>0.66</v>
      </c>
      <c r="E58" s="6">
        <v>2.9999999999999999E-50</v>
      </c>
      <c r="F58" s="4">
        <v>32.19</v>
      </c>
      <c r="G58" s="4" t="str">
        <f>HYPERLINK("https://www.ncbi.nlm.nih.gov/nucleotide/XM_032058508.1?report=genbank&amp;log$=nucltop&amp;blast_rank=55&amp;RID=GYVHY531013","XM_032058508.1")</f>
        <v>XM_032058508.1</v>
      </c>
    </row>
    <row r="59" spans="1:7" x14ac:dyDescent="0.35">
      <c r="A59" t="s">
        <v>69</v>
      </c>
      <c r="B59">
        <v>189</v>
      </c>
      <c r="C59">
        <v>189</v>
      </c>
      <c r="D59" s="2">
        <v>0.66</v>
      </c>
      <c r="E59" s="3">
        <v>4.9999999999999999E-48</v>
      </c>
      <c r="F59">
        <v>32.090000000000003</v>
      </c>
      <c r="G59" t="str">
        <f>HYPERLINK("https://www.ncbi.nlm.nih.gov/nucleotide/XM_001390712.2?report=genbank&amp;log$=nucltop&amp;blast_rank=56&amp;RID=GYVHY531013","XM_001390712.2")</f>
        <v>XM_001390712.2</v>
      </c>
    </row>
    <row r="60" spans="1:7" x14ac:dyDescent="0.35">
      <c r="A60" t="s">
        <v>781</v>
      </c>
      <c r="B60">
        <v>174</v>
      </c>
      <c r="C60">
        <v>174</v>
      </c>
      <c r="D60" s="2">
        <v>0.65</v>
      </c>
      <c r="E60" s="3">
        <v>1E-42</v>
      </c>
      <c r="F60">
        <v>32.08</v>
      </c>
      <c r="G60" t="str">
        <f>HYPERLINK("https://www.ncbi.nlm.nih.gov/nucleotide/XM_040786233.1?report=genbank&amp;log$=nucltop&amp;blast_rank=57&amp;RID=GYVHY531013","XM_040786233.1")</f>
        <v>XM_040786233.1</v>
      </c>
    </row>
    <row r="61" spans="1:7" x14ac:dyDescent="0.35">
      <c r="A61" t="s">
        <v>782</v>
      </c>
      <c r="B61">
        <v>142</v>
      </c>
      <c r="C61">
        <v>172</v>
      </c>
      <c r="D61" s="2">
        <v>0.64</v>
      </c>
      <c r="E61" s="3">
        <v>1.0000000000000001E-32</v>
      </c>
      <c r="F61">
        <v>32.08</v>
      </c>
      <c r="G61" t="str">
        <f>HYPERLINK("https://www.ncbi.nlm.nih.gov/nucleotide/CP062502.1?report=genbank&amp;log$=nucltop&amp;blast_rank=58&amp;RID=GYVHY531013","CP062502.1")</f>
        <v>CP062502.1</v>
      </c>
    </row>
    <row r="62" spans="1:7" x14ac:dyDescent="0.35">
      <c r="A62" t="s">
        <v>783</v>
      </c>
      <c r="B62">
        <v>142</v>
      </c>
      <c r="C62">
        <v>172</v>
      </c>
      <c r="D62" s="2">
        <v>0.64</v>
      </c>
      <c r="E62" s="3">
        <v>1.0000000000000001E-32</v>
      </c>
      <c r="F62">
        <v>32.08</v>
      </c>
      <c r="G62" t="str">
        <f>HYPERLINK("https://www.ncbi.nlm.nih.gov/nucleotide/CP062541.1?report=genbank&amp;log$=nucltop&amp;blast_rank=59&amp;RID=GYVHY531013","CP062541.1")</f>
        <v>CP062541.1</v>
      </c>
    </row>
    <row r="63" spans="1:7" x14ac:dyDescent="0.35">
      <c r="A63" t="s">
        <v>784</v>
      </c>
      <c r="B63">
        <v>142</v>
      </c>
      <c r="C63">
        <v>172</v>
      </c>
      <c r="D63" s="2">
        <v>0.64</v>
      </c>
      <c r="E63" s="3">
        <v>1.0000000000000001E-32</v>
      </c>
      <c r="F63">
        <v>32.08</v>
      </c>
      <c r="G63" t="str">
        <f>HYPERLINK("https://www.ncbi.nlm.nih.gov/nucleotide/CP062598.1?report=genbank&amp;log$=nucltop&amp;blast_rank=60&amp;RID=GYVHY531013","CP062598.1")</f>
        <v>CP062598.1</v>
      </c>
    </row>
    <row r="64" spans="1:7" x14ac:dyDescent="0.35">
      <c r="A64" t="s">
        <v>57</v>
      </c>
      <c r="B64">
        <v>142</v>
      </c>
      <c r="C64">
        <v>172</v>
      </c>
      <c r="D64" s="2">
        <v>0.64</v>
      </c>
      <c r="E64" s="3">
        <v>1.0000000000000001E-32</v>
      </c>
      <c r="F64">
        <v>32.08</v>
      </c>
      <c r="G64" t="str">
        <f>HYPERLINK("https://www.ncbi.nlm.nih.gov/nucleotide/LT854253.1?report=genbank&amp;log$=nucltop&amp;blast_rank=61&amp;RID=GYVHY531013","LT854253.1")</f>
        <v>LT854253.1</v>
      </c>
    </row>
    <row r="65" spans="1:7" x14ac:dyDescent="0.35">
      <c r="A65" t="s">
        <v>58</v>
      </c>
      <c r="B65">
        <v>142</v>
      </c>
      <c r="C65">
        <v>172</v>
      </c>
      <c r="D65" s="2">
        <v>0.64</v>
      </c>
      <c r="E65" s="3">
        <v>2.0000000000000001E-32</v>
      </c>
      <c r="F65">
        <v>32.08</v>
      </c>
      <c r="G65" t="str">
        <f>HYPERLINK("https://www.ncbi.nlm.nih.gov/nucleotide/LT854273.1?report=genbank&amp;log$=nucltop&amp;blast_rank=62&amp;RID=GYVHY531013","LT854273.1")</f>
        <v>LT854273.1</v>
      </c>
    </row>
    <row r="66" spans="1:7" x14ac:dyDescent="0.35">
      <c r="A66" t="s">
        <v>785</v>
      </c>
      <c r="B66">
        <v>142</v>
      </c>
      <c r="C66">
        <v>172</v>
      </c>
      <c r="D66" s="2">
        <v>0.64</v>
      </c>
      <c r="E66" s="3">
        <v>2.0000000000000001E-32</v>
      </c>
      <c r="F66">
        <v>32.08</v>
      </c>
      <c r="G66" t="str">
        <f>HYPERLINK("https://www.ncbi.nlm.nih.gov/nucleotide/CP062521.1?report=genbank&amp;log$=nucltop&amp;blast_rank=63&amp;RID=GYVHY531013","CP062521.1")</f>
        <v>CP062521.1</v>
      </c>
    </row>
    <row r="67" spans="1:7" x14ac:dyDescent="0.35">
      <c r="A67" t="s">
        <v>786</v>
      </c>
      <c r="B67">
        <v>142</v>
      </c>
      <c r="C67">
        <v>172</v>
      </c>
      <c r="D67" s="2">
        <v>0.64</v>
      </c>
      <c r="E67" s="3">
        <v>2.0000000000000001E-32</v>
      </c>
      <c r="F67">
        <v>32.08</v>
      </c>
      <c r="G67" t="str">
        <f>HYPERLINK("https://www.ncbi.nlm.nih.gov/nucleotide/CP062579.1?report=genbank&amp;log$=nucltop&amp;blast_rank=64&amp;RID=GYVHY531013","CP062579.1")</f>
        <v>CP062579.1</v>
      </c>
    </row>
    <row r="68" spans="1:7" x14ac:dyDescent="0.35">
      <c r="A68" t="s">
        <v>787</v>
      </c>
      <c r="B68">
        <v>142</v>
      </c>
      <c r="C68">
        <v>172</v>
      </c>
      <c r="D68" s="2">
        <v>0.64</v>
      </c>
      <c r="E68" s="3">
        <v>2.0000000000000001E-32</v>
      </c>
      <c r="F68">
        <v>32.08</v>
      </c>
      <c r="G68" t="str">
        <f>HYPERLINK("https://www.ncbi.nlm.nih.gov/nucleotide/CP062678.1?report=genbank&amp;log$=nucltop&amp;blast_rank=65&amp;RID=GYVHY531013","CP062678.1")</f>
        <v>CP062678.1</v>
      </c>
    </row>
    <row r="69" spans="1:7" x14ac:dyDescent="0.35">
      <c r="A69" t="s">
        <v>788</v>
      </c>
      <c r="B69">
        <v>142</v>
      </c>
      <c r="C69">
        <v>172</v>
      </c>
      <c r="D69" s="2">
        <v>0.64</v>
      </c>
      <c r="E69" s="3">
        <v>2.0000000000000001E-32</v>
      </c>
      <c r="F69">
        <v>32.08</v>
      </c>
      <c r="G69" t="str">
        <f>HYPERLINK("https://www.ncbi.nlm.nih.gov/nucleotide/CP062638.1?report=genbank&amp;log$=nucltop&amp;blast_rank=66&amp;RID=GYVHY531013","CP062638.1")</f>
        <v>CP062638.1</v>
      </c>
    </row>
    <row r="70" spans="1:7" x14ac:dyDescent="0.35">
      <c r="A70" t="s">
        <v>59</v>
      </c>
      <c r="B70">
        <v>142</v>
      </c>
      <c r="C70">
        <v>172</v>
      </c>
      <c r="D70" s="2">
        <v>0.64</v>
      </c>
      <c r="E70" s="3">
        <v>2.0000000000000001E-32</v>
      </c>
      <c r="F70">
        <v>32.08</v>
      </c>
      <c r="G70" t="str">
        <f>HYPERLINK("https://www.ncbi.nlm.nih.gov/nucleotide/LT882676.1?report=genbank&amp;log$=nucltop&amp;blast_rank=67&amp;RID=GYVHY531013","LT882676.1")</f>
        <v>LT882676.1</v>
      </c>
    </row>
    <row r="71" spans="1:7" x14ac:dyDescent="0.35">
      <c r="A71" t="s">
        <v>789</v>
      </c>
      <c r="B71">
        <v>142</v>
      </c>
      <c r="C71">
        <v>172</v>
      </c>
      <c r="D71" s="2">
        <v>0.64</v>
      </c>
      <c r="E71" s="3">
        <v>2.0000000000000001E-32</v>
      </c>
      <c r="F71">
        <v>32.08</v>
      </c>
      <c r="G71" t="str">
        <f>HYPERLINK("https://www.ncbi.nlm.nih.gov/nucleotide/CP062658.1?report=genbank&amp;log$=nucltop&amp;blast_rank=68&amp;RID=GYVHY531013","CP062658.1")</f>
        <v>CP062658.1</v>
      </c>
    </row>
    <row r="72" spans="1:7" x14ac:dyDescent="0.35">
      <c r="A72" t="s">
        <v>790</v>
      </c>
      <c r="B72">
        <v>142</v>
      </c>
      <c r="C72">
        <v>172</v>
      </c>
      <c r="D72" s="2">
        <v>0.64</v>
      </c>
      <c r="E72" s="3">
        <v>2.0000000000000001E-32</v>
      </c>
      <c r="F72">
        <v>32.08</v>
      </c>
      <c r="G72" t="str">
        <f>HYPERLINK("https://www.ncbi.nlm.nih.gov/nucleotide/CP062618.1?report=genbank&amp;log$=nucltop&amp;blast_rank=69&amp;RID=GYVHY531013","CP062618.1")</f>
        <v>CP062618.1</v>
      </c>
    </row>
    <row r="73" spans="1:7" x14ac:dyDescent="0.35">
      <c r="A73" t="s">
        <v>791</v>
      </c>
      <c r="B73">
        <v>142</v>
      </c>
      <c r="C73">
        <v>172</v>
      </c>
      <c r="D73" s="2">
        <v>0.64</v>
      </c>
      <c r="E73" s="3">
        <v>2.0000000000000001E-32</v>
      </c>
      <c r="F73">
        <v>32.08</v>
      </c>
      <c r="G73" t="str">
        <f>HYPERLINK("https://www.ncbi.nlm.nih.gov/nucleotide/CP062560.1?report=genbank&amp;log$=nucltop&amp;blast_rank=70&amp;RID=GYVHY531013","CP062560.1")</f>
        <v>CP062560.1</v>
      </c>
    </row>
    <row r="74" spans="1:7" x14ac:dyDescent="0.35">
      <c r="A74" t="s">
        <v>792</v>
      </c>
      <c r="B74">
        <v>184</v>
      </c>
      <c r="C74">
        <v>184</v>
      </c>
      <c r="D74" s="2">
        <v>0.66</v>
      </c>
      <c r="E74" s="3">
        <v>6.0000000000000002E-45</v>
      </c>
      <c r="F74">
        <v>31.95</v>
      </c>
      <c r="G74" t="str">
        <f>HYPERLINK("https://www.ncbi.nlm.nih.gov/nucleotide/XM_041285679.1?report=genbank&amp;log$=nucltop&amp;blast_rank=71&amp;RID=GYVHY531013","XM_041285679.1")</f>
        <v>XM_041285679.1</v>
      </c>
    </row>
    <row r="75" spans="1:7" x14ac:dyDescent="0.35">
      <c r="A75" s="4" t="s">
        <v>793</v>
      </c>
      <c r="B75" s="4">
        <v>182</v>
      </c>
      <c r="C75" s="4">
        <v>182</v>
      </c>
      <c r="D75" s="5">
        <v>0.66</v>
      </c>
      <c r="E75" s="6">
        <v>7.0000000000000004E-46</v>
      </c>
      <c r="F75" s="4">
        <v>31.89</v>
      </c>
      <c r="G75" s="4" t="str">
        <f>HYPERLINK("https://www.ncbi.nlm.nih.gov/nucleotide/XM_032089869.1?report=genbank&amp;log$=nucltop&amp;blast_rank=72&amp;RID=GYVHY531013","XM_032089869.1")</f>
        <v>XM_032089869.1</v>
      </c>
    </row>
    <row r="76" spans="1:7" x14ac:dyDescent="0.35">
      <c r="A76" s="4" t="s">
        <v>55</v>
      </c>
      <c r="B76" s="4">
        <v>180</v>
      </c>
      <c r="C76" s="4">
        <v>180</v>
      </c>
      <c r="D76" s="5">
        <v>0.66</v>
      </c>
      <c r="E76" s="6">
        <v>4.9999999999999998E-45</v>
      </c>
      <c r="F76" s="4">
        <v>31.88</v>
      </c>
      <c r="G76" s="4" t="str">
        <f>HYPERLINK("https://www.ncbi.nlm.nih.gov/nucleotide/XM_032074407.1?report=genbank&amp;log$=nucltop&amp;blast_rank=73&amp;RID=GYVHY531013","XM_032074407.1")</f>
        <v>XM_032074407.1</v>
      </c>
    </row>
    <row r="77" spans="1:7" x14ac:dyDescent="0.35">
      <c r="A77" s="4" t="s">
        <v>65</v>
      </c>
      <c r="B77" s="4">
        <v>189</v>
      </c>
      <c r="C77" s="4">
        <v>189</v>
      </c>
      <c r="D77" s="5">
        <v>0.66</v>
      </c>
      <c r="E77" s="6">
        <v>4.9999999999999999E-48</v>
      </c>
      <c r="F77" s="4">
        <v>31.86</v>
      </c>
      <c r="G77" s="4" t="str">
        <f>HYPERLINK("https://www.ncbi.nlm.nih.gov/nucleotide/XM_026774556.1?report=genbank&amp;log$=nucltop&amp;blast_rank=74&amp;RID=GYVHY531013","XM_026774556.1")</f>
        <v>XM_026774556.1</v>
      </c>
    </row>
    <row r="78" spans="1:7" x14ac:dyDescent="0.35">
      <c r="A78" t="s">
        <v>794</v>
      </c>
      <c r="B78">
        <v>176</v>
      </c>
      <c r="C78">
        <v>176</v>
      </c>
      <c r="D78" s="2">
        <v>0.65</v>
      </c>
      <c r="E78" s="3">
        <v>1E-41</v>
      </c>
      <c r="F78">
        <v>31.78</v>
      </c>
      <c r="G78" t="str">
        <f>HYPERLINK("https://www.ncbi.nlm.nih.gov/nucleotide/AP024419.1?report=genbank&amp;log$=nucltop&amp;blast_rank=75&amp;RID=GYVHY531013","AP024419.1")</f>
        <v>AP024419.1</v>
      </c>
    </row>
    <row r="79" spans="1:7" x14ac:dyDescent="0.35">
      <c r="A79" t="s">
        <v>795</v>
      </c>
      <c r="B79">
        <v>173</v>
      </c>
      <c r="C79">
        <v>173</v>
      </c>
      <c r="D79" s="2">
        <v>0.64</v>
      </c>
      <c r="E79" s="3">
        <v>5.9999999999999998E-41</v>
      </c>
      <c r="F79">
        <v>31.68</v>
      </c>
      <c r="G79" t="str">
        <f>HYPERLINK("https://www.ncbi.nlm.nih.gov/nucleotide/AP024418.1?report=genbank&amp;log$=nucltop&amp;blast_rank=76&amp;RID=GYVHY531013","AP024418.1")</f>
        <v>AP024418.1</v>
      </c>
    </row>
    <row r="80" spans="1:7" x14ac:dyDescent="0.35">
      <c r="A80" t="s">
        <v>51</v>
      </c>
      <c r="B80">
        <v>184</v>
      </c>
      <c r="C80">
        <v>184</v>
      </c>
      <c r="D80" s="2">
        <v>0.66</v>
      </c>
      <c r="E80" s="3">
        <v>2E-46</v>
      </c>
      <c r="F80">
        <v>31.44</v>
      </c>
      <c r="G80" t="str">
        <f>HYPERLINK("https://www.ncbi.nlm.nih.gov/nucleotide/XM_025528552.1?report=genbank&amp;log$=nucltop&amp;blast_rank=77&amp;RID=GYVHY531013","XM_025528552.1")</f>
        <v>XM_025528552.1</v>
      </c>
    </row>
    <row r="81" spans="1:7" x14ac:dyDescent="0.35">
      <c r="A81" t="s">
        <v>68</v>
      </c>
      <c r="B81">
        <v>144</v>
      </c>
      <c r="C81">
        <v>144</v>
      </c>
      <c r="D81" s="2">
        <v>0.57999999999999996</v>
      </c>
      <c r="E81" s="3">
        <v>2.0000000000000001E-33</v>
      </c>
      <c r="F81">
        <v>31.32</v>
      </c>
      <c r="G81" t="str">
        <f>HYPERLINK("https://www.ncbi.nlm.nih.gov/nucleotide/XM_001262908.1?report=genbank&amp;log$=nucltop&amp;blast_rank=78&amp;RID=GYVHY531013","XM_001262908.1")</f>
        <v>XM_001262908.1</v>
      </c>
    </row>
    <row r="82" spans="1:7" x14ac:dyDescent="0.35">
      <c r="A82" t="s">
        <v>64</v>
      </c>
      <c r="B82">
        <v>151</v>
      </c>
      <c r="C82">
        <v>151</v>
      </c>
      <c r="D82" s="2">
        <v>0.66</v>
      </c>
      <c r="E82" s="3">
        <v>1.9999999999999999E-34</v>
      </c>
      <c r="F82">
        <v>31.28</v>
      </c>
      <c r="G82" t="str">
        <f>HYPERLINK("https://www.ncbi.nlm.nih.gov/nucleotide/XM_025524425.1?report=genbank&amp;log$=nucltop&amp;blast_rank=79&amp;RID=GYVHY531013","XM_025524425.1")</f>
        <v>XM_025524425.1</v>
      </c>
    </row>
    <row r="83" spans="1:7" x14ac:dyDescent="0.35">
      <c r="A83" t="s">
        <v>796</v>
      </c>
      <c r="B83">
        <v>182</v>
      </c>
      <c r="C83">
        <v>182</v>
      </c>
      <c r="D83" s="2">
        <v>0.73</v>
      </c>
      <c r="E83" s="3">
        <v>8.0000000000000002E-46</v>
      </c>
      <c r="F83">
        <v>31.09</v>
      </c>
      <c r="G83" t="str">
        <f>HYPERLINK("https://www.ncbi.nlm.nih.gov/nucleotide/XM_040786154.1?report=genbank&amp;log$=nucltop&amp;blast_rank=80&amp;RID=GYVHY531013","XM_040786154.1")</f>
        <v>XM_040786154.1</v>
      </c>
    </row>
    <row r="84" spans="1:7" x14ac:dyDescent="0.35">
      <c r="A84" t="s">
        <v>85</v>
      </c>
      <c r="B84">
        <v>182</v>
      </c>
      <c r="C84">
        <v>182</v>
      </c>
      <c r="D84" s="2">
        <v>0.72</v>
      </c>
      <c r="E84" s="3">
        <v>5.9999999999999997E-46</v>
      </c>
      <c r="F84">
        <v>30.96</v>
      </c>
      <c r="G84" t="str">
        <f>HYPERLINK("https://www.ncbi.nlm.nih.gov/nucleotide/XM_002559523.1?report=genbank&amp;log$=nucltop&amp;blast_rank=81&amp;RID=GYVHY531013","XM_002559523.1")</f>
        <v>XM_002559523.1</v>
      </c>
    </row>
    <row r="85" spans="1:7" x14ac:dyDescent="0.35">
      <c r="A85" t="s">
        <v>56</v>
      </c>
      <c r="B85">
        <v>179</v>
      </c>
      <c r="C85">
        <v>179</v>
      </c>
      <c r="D85" s="2">
        <v>0.74</v>
      </c>
      <c r="E85" s="3">
        <v>3.0000000000000001E-45</v>
      </c>
      <c r="F85">
        <v>30.93</v>
      </c>
      <c r="G85" t="str">
        <f>HYPERLINK("https://www.ncbi.nlm.nih.gov/nucleotide/XM_024844676.1?report=genbank&amp;log$=nucltop&amp;blast_rank=82&amp;RID=GYVHY531013","XM_024844676.1")</f>
        <v>XM_024844676.1</v>
      </c>
    </row>
    <row r="86" spans="1:7" x14ac:dyDescent="0.35">
      <c r="A86" t="s">
        <v>53</v>
      </c>
      <c r="B86">
        <v>179</v>
      </c>
      <c r="C86">
        <v>179</v>
      </c>
      <c r="D86" s="2">
        <v>0.66</v>
      </c>
      <c r="E86" s="3">
        <v>3.9999999999999998E-44</v>
      </c>
      <c r="F86">
        <v>30.8</v>
      </c>
      <c r="G86" t="str">
        <f>HYPERLINK("https://www.ncbi.nlm.nih.gov/nucleotide/XM_025704096.1?report=genbank&amp;log$=nucltop&amp;blast_rank=83&amp;RID=GYVHY531013","XM_025704096.1")</f>
        <v>XM_025704096.1</v>
      </c>
    </row>
    <row r="87" spans="1:7" x14ac:dyDescent="0.35">
      <c r="A87" s="4" t="s">
        <v>60</v>
      </c>
      <c r="B87" s="4">
        <v>170</v>
      </c>
      <c r="C87" s="4">
        <v>170</v>
      </c>
      <c r="D87" s="5">
        <v>0.66</v>
      </c>
      <c r="E87" s="6">
        <v>4.9999999999999996E-41</v>
      </c>
      <c r="F87" s="4">
        <v>30.4</v>
      </c>
      <c r="G87" s="4" t="str">
        <f>HYPERLINK("https://www.ncbi.nlm.nih.gov/nucleotide/XM_035498527.1?report=genbank&amp;log$=nucltop&amp;blast_rank=84&amp;RID=GYVHY531013","XM_035498527.1")</f>
        <v>XM_035498527.1</v>
      </c>
    </row>
    <row r="88" spans="1:7" x14ac:dyDescent="0.35">
      <c r="A88" t="s">
        <v>80</v>
      </c>
      <c r="B88">
        <v>169</v>
      </c>
      <c r="C88">
        <v>169</v>
      </c>
      <c r="D88" s="2">
        <v>0.66</v>
      </c>
      <c r="E88" s="3">
        <v>9.0000000000000002E-41</v>
      </c>
      <c r="F88">
        <v>30.4</v>
      </c>
      <c r="G88" t="str">
        <f>HYPERLINK("https://www.ncbi.nlm.nih.gov/nucleotide/XM_025662501.1?report=genbank&amp;log$=nucltop&amp;blast_rank=85&amp;RID=GYVHY531013","XM_025662501.1")</f>
        <v>XM_025662501.1</v>
      </c>
    </row>
    <row r="89" spans="1:7" x14ac:dyDescent="0.35">
      <c r="A89" t="s">
        <v>84</v>
      </c>
      <c r="B89">
        <v>164</v>
      </c>
      <c r="C89">
        <v>164</v>
      </c>
      <c r="D89" s="2">
        <v>0.66</v>
      </c>
      <c r="E89" s="3">
        <v>3.0000000000000003E-39</v>
      </c>
      <c r="F89">
        <v>30.11</v>
      </c>
      <c r="G89" t="str">
        <f>HYPERLINK("https://www.ncbi.nlm.nih.gov/nucleotide/XM_023599633.1?report=genbank&amp;log$=nucltop&amp;blast_rank=86&amp;RID=GYVHY531013","XM_023599633.1")</f>
        <v>XM_023599633.1</v>
      </c>
    </row>
    <row r="90" spans="1:7" x14ac:dyDescent="0.35">
      <c r="A90" t="s">
        <v>61</v>
      </c>
      <c r="B90">
        <v>167</v>
      </c>
      <c r="C90">
        <v>167</v>
      </c>
      <c r="D90" s="2">
        <v>0.75</v>
      </c>
      <c r="E90" s="3">
        <v>1.9999999999999999E-40</v>
      </c>
      <c r="F90">
        <v>29.75</v>
      </c>
      <c r="G90" t="str">
        <f>HYPERLINK("https://www.ncbi.nlm.nih.gov/nucleotide/XM_024831712.1?report=genbank&amp;log$=nucltop&amp;blast_rank=87&amp;RID=GYVHY531013","XM_024831712.1")</f>
        <v>XM_024831712.1</v>
      </c>
    </row>
    <row r="91" spans="1:7" x14ac:dyDescent="0.35">
      <c r="A91" s="4" t="s">
        <v>66</v>
      </c>
      <c r="B91" s="4">
        <v>163</v>
      </c>
      <c r="C91" s="4">
        <v>163</v>
      </c>
      <c r="D91" s="5">
        <v>0.66</v>
      </c>
      <c r="E91" s="6">
        <v>3.0000000000000003E-39</v>
      </c>
      <c r="F91" s="4">
        <v>29.75</v>
      </c>
      <c r="G91" s="4" t="str">
        <f>HYPERLINK("https://www.ncbi.nlm.nih.gov/nucleotide/XM_035498118.1?report=genbank&amp;log$=nucltop&amp;blast_rank=88&amp;RID=GYVHY531013","XM_035498118.1")</f>
        <v>XM_035498118.1</v>
      </c>
    </row>
    <row r="92" spans="1:7" x14ac:dyDescent="0.35">
      <c r="A92" t="s">
        <v>69</v>
      </c>
      <c r="B92">
        <v>161</v>
      </c>
      <c r="C92">
        <v>161</v>
      </c>
      <c r="D92" s="2">
        <v>0.66</v>
      </c>
      <c r="E92" s="3">
        <v>9.9999999999999996E-39</v>
      </c>
      <c r="F92">
        <v>29.75</v>
      </c>
      <c r="G92" t="str">
        <f>HYPERLINK("https://www.ncbi.nlm.nih.gov/nucleotide/XM_001401884.2?report=genbank&amp;log$=nucltop&amp;blast_rank=89&amp;RID=GYVHY531013","XM_001401884.2")</f>
        <v>XM_001401884.2</v>
      </c>
    </row>
    <row r="93" spans="1:7" x14ac:dyDescent="0.35">
      <c r="A93" t="s">
        <v>797</v>
      </c>
      <c r="B93">
        <v>161</v>
      </c>
      <c r="C93">
        <v>161</v>
      </c>
      <c r="D93" s="2">
        <v>0.66</v>
      </c>
      <c r="E93" s="3">
        <v>2.9999999999999999E-38</v>
      </c>
      <c r="F93">
        <v>29.75</v>
      </c>
      <c r="G93" t="str">
        <f>HYPERLINK("https://www.ncbi.nlm.nih.gov/nucleotide/XM_025601684.1?report=genbank&amp;log$=nucltop&amp;blast_rank=90&amp;RID=GYVHY531013","XM_025601684.1")</f>
        <v>XM_025601684.1</v>
      </c>
    </row>
    <row r="94" spans="1:7" x14ac:dyDescent="0.35">
      <c r="A94" t="s">
        <v>798</v>
      </c>
      <c r="B94">
        <v>183</v>
      </c>
      <c r="C94">
        <v>183</v>
      </c>
      <c r="D94" s="2">
        <v>0.84</v>
      </c>
      <c r="E94" s="3">
        <v>2E-46</v>
      </c>
      <c r="F94">
        <v>29.53</v>
      </c>
      <c r="G94" t="str">
        <f>HYPERLINK("https://www.ncbi.nlm.nih.gov/nucleotide/XM_041682448.1?report=genbank&amp;log$=nucltop&amp;blast_rank=91&amp;RID=GYVHY531013","XM_041682448.1")</f>
        <v>XM_041682448.1</v>
      </c>
    </row>
    <row r="95" spans="1:7" x14ac:dyDescent="0.35">
      <c r="A95" t="s">
        <v>86</v>
      </c>
      <c r="B95">
        <v>143</v>
      </c>
      <c r="C95">
        <v>175</v>
      </c>
      <c r="D95" s="2">
        <v>0.63</v>
      </c>
      <c r="E95" s="3">
        <v>2.0000000000000001E-33</v>
      </c>
      <c r="F95">
        <v>29.48</v>
      </c>
      <c r="G95" t="str">
        <f>HYPERLINK("https://www.ncbi.nlm.nih.gov/nucleotide/AM920428.1?report=genbank&amp;log$=nucltop&amp;blast_rank=92&amp;RID=GYVHY531013","AM920428.1")</f>
        <v>AM920428.1</v>
      </c>
    </row>
    <row r="96" spans="1:7" x14ac:dyDescent="0.35">
      <c r="A96" t="s">
        <v>78</v>
      </c>
      <c r="B96">
        <v>151</v>
      </c>
      <c r="C96">
        <v>151</v>
      </c>
      <c r="D96" s="2">
        <v>0.67</v>
      </c>
      <c r="E96" s="3">
        <v>3.9999999999999998E-36</v>
      </c>
      <c r="F96">
        <v>29.4</v>
      </c>
      <c r="G96" t="str">
        <f>HYPERLINK("https://www.ncbi.nlm.nih.gov/nucleotide/XM_001262909.1?report=genbank&amp;log$=nucltop&amp;blast_rank=93&amp;RID=GYVHY531013","XM_001262909.1")</f>
        <v>XM_001262909.1</v>
      </c>
    </row>
    <row r="97" spans="1:7" x14ac:dyDescent="0.35">
      <c r="A97" t="s">
        <v>79</v>
      </c>
      <c r="B97">
        <v>160</v>
      </c>
      <c r="C97">
        <v>160</v>
      </c>
      <c r="D97" s="2">
        <v>0.6</v>
      </c>
      <c r="E97" s="3">
        <v>2.9999999999999999E-38</v>
      </c>
      <c r="F97">
        <v>29.26</v>
      </c>
      <c r="G97" t="str">
        <f>HYPERLINK("https://www.ncbi.nlm.nih.gov/nucleotide/XM_033553550.1?report=genbank&amp;log$=nucltop&amp;blast_rank=94&amp;RID=GYVHY531013","XM_033553550.1")</f>
        <v>XM_033553550.1</v>
      </c>
    </row>
    <row r="98" spans="1:7" x14ac:dyDescent="0.35">
      <c r="A98" t="s">
        <v>76</v>
      </c>
      <c r="B98">
        <v>150</v>
      </c>
      <c r="C98">
        <v>150</v>
      </c>
      <c r="D98" s="2">
        <v>0.67</v>
      </c>
      <c r="E98" s="3">
        <v>3E-34</v>
      </c>
      <c r="F98">
        <v>29.13</v>
      </c>
      <c r="G98" t="str">
        <f>HYPERLINK("https://www.ncbi.nlm.nih.gov/nucleotide/XM_026762387.1?report=genbank&amp;log$=nucltop&amp;blast_rank=95&amp;RID=GYVHY531013","XM_026762387.1")</f>
        <v>XM_026762387.1</v>
      </c>
    </row>
    <row r="99" spans="1:7" x14ac:dyDescent="0.35">
      <c r="A99" s="4" t="s">
        <v>87</v>
      </c>
      <c r="B99" s="4">
        <v>146</v>
      </c>
      <c r="C99" s="4">
        <v>146</v>
      </c>
      <c r="D99" s="5">
        <v>0.63</v>
      </c>
      <c r="E99" s="6">
        <v>2.0000000000000001E-32</v>
      </c>
      <c r="F99" s="4">
        <v>28.67</v>
      </c>
      <c r="G99" s="4" t="str">
        <f>HYPERLINK("https://www.ncbi.nlm.nih.gov/nucleotide/XM_007819030.2?report=genbank&amp;log$=nucltop&amp;blast_rank=96&amp;RID=GYVHY531013","XM_007819030.2")</f>
        <v>XM_007819030.2</v>
      </c>
    </row>
    <row r="100" spans="1:7" x14ac:dyDescent="0.35">
      <c r="A100" t="s">
        <v>743</v>
      </c>
      <c r="B100">
        <v>136</v>
      </c>
      <c r="C100">
        <v>170</v>
      </c>
      <c r="D100" s="2">
        <v>0.66</v>
      </c>
      <c r="E100" s="3">
        <v>1.0000000000000001E-31</v>
      </c>
      <c r="F100">
        <v>28.64</v>
      </c>
      <c r="G100" t="str">
        <f>HYPERLINK("https://www.ncbi.nlm.nih.gov/nucleotide/CP066504.1?report=genbank&amp;log$=nucltop&amp;blast_rank=97&amp;RID=GYVHY531013","CP066504.1")</f>
        <v>CP066504.1</v>
      </c>
    </row>
    <row r="101" spans="1:7" x14ac:dyDescent="0.35">
      <c r="A101" t="s">
        <v>90</v>
      </c>
      <c r="B101">
        <v>157</v>
      </c>
      <c r="C101">
        <v>157</v>
      </c>
      <c r="D101" s="2">
        <v>0.66</v>
      </c>
      <c r="E101" s="3">
        <v>9.9999999999999994E-37</v>
      </c>
      <c r="F101">
        <v>28.45</v>
      </c>
      <c r="G101" t="str">
        <f>HYPERLINK("https://www.ncbi.nlm.nih.gov/nucleotide/XM_025683366.1?report=genbank&amp;log$=nucltop&amp;blast_rank=98&amp;RID=GYVHY531013","XM_025683366.1")</f>
        <v>XM_025683366.1</v>
      </c>
    </row>
    <row r="102" spans="1:7" x14ac:dyDescent="0.35">
      <c r="A102" t="s">
        <v>81</v>
      </c>
      <c r="B102">
        <v>138</v>
      </c>
      <c r="C102">
        <v>138</v>
      </c>
      <c r="D102" s="2">
        <v>0.63</v>
      </c>
      <c r="E102" s="3">
        <v>8.0000000000000007E-31</v>
      </c>
      <c r="F102">
        <v>28.22</v>
      </c>
      <c r="G102" t="str">
        <f>HYPERLINK("https://www.ncbi.nlm.nih.gov/nucleotide/XM_011327711.1?report=genbank&amp;log$=nucltop&amp;blast_rank=99&amp;RID=GYVHY531013","XM_011327711.1")</f>
        <v>XM_011327711.1</v>
      </c>
    </row>
    <row r="103" spans="1:7" x14ac:dyDescent="0.35">
      <c r="A103" s="4" t="s">
        <v>99</v>
      </c>
      <c r="B103" s="4">
        <v>143</v>
      </c>
      <c r="C103" s="4">
        <v>143</v>
      </c>
      <c r="D103" s="5">
        <v>0.66</v>
      </c>
      <c r="E103" s="6">
        <v>2.0000000000000002E-31</v>
      </c>
      <c r="F103" s="4">
        <v>27.55</v>
      </c>
      <c r="G103" s="4" t="str">
        <f>HYPERLINK("https://www.ncbi.nlm.nih.gov/nucleotide/XM_014687487.1?report=genbank&amp;log$=nucltop&amp;blast_rank=100&amp;RID=GYVHY531013","XM_014687487.1")</f>
        <v>XM_014687487.1</v>
      </c>
    </row>
    <row r="104" spans="1:7" x14ac:dyDescent="0.35">
      <c r="A104" s="1" t="s">
        <v>920</v>
      </c>
    </row>
    <row r="105" spans="1:7" x14ac:dyDescent="0.35">
      <c r="A105" s="1" t="s">
        <v>2</v>
      </c>
      <c r="B105" s="1" t="s">
        <v>3</v>
      </c>
      <c r="C105" s="1" t="s">
        <v>4</v>
      </c>
      <c r="D105" s="1" t="s">
        <v>5</v>
      </c>
      <c r="E105" s="1" t="s">
        <v>6</v>
      </c>
      <c r="F105" s="1" t="s">
        <v>7</v>
      </c>
      <c r="G105" s="1" t="s">
        <v>8</v>
      </c>
    </row>
    <row r="106" spans="1:7" x14ac:dyDescent="0.35">
      <c r="A106" t="s">
        <v>107</v>
      </c>
      <c r="B106">
        <v>171</v>
      </c>
      <c r="C106">
        <v>218</v>
      </c>
      <c r="D106" s="2">
        <v>0.39</v>
      </c>
      <c r="E106" s="3">
        <v>2.9999999999999999E-46</v>
      </c>
      <c r="F106">
        <v>67.92</v>
      </c>
      <c r="G106" t="str">
        <f>HYPERLINK("https://www.ncbi.nlm.nih.gov/nucleotide/CP019380.1?report=genbank&amp;log$=nucltop&amp;blast_rank=1&amp;RID=GYS3CJWW013","CP019380.1")</f>
        <v>CP019380.1</v>
      </c>
    </row>
    <row r="107" spans="1:7" x14ac:dyDescent="0.35">
      <c r="A107" t="s">
        <v>9</v>
      </c>
      <c r="B107">
        <v>612</v>
      </c>
      <c r="C107">
        <v>612</v>
      </c>
      <c r="D107" s="2">
        <v>1</v>
      </c>
      <c r="E107">
        <v>0</v>
      </c>
      <c r="F107">
        <v>64.17</v>
      </c>
      <c r="G107" t="str">
        <f>HYPERLINK("https://www.ncbi.nlm.nih.gov/nucleotide/LR732079.1?report=genbank&amp;log$=nucltop&amp;blast_rank=2&amp;RID=GYS3CJWW013","LR732079.1")</f>
        <v>LR732079.1</v>
      </c>
    </row>
    <row r="108" spans="1:7" x14ac:dyDescent="0.35">
      <c r="A108" t="s">
        <v>108</v>
      </c>
      <c r="B108">
        <v>191</v>
      </c>
      <c r="C108">
        <v>191</v>
      </c>
      <c r="D108" s="2">
        <v>0.25</v>
      </c>
      <c r="E108" s="3">
        <v>5.0000000000000002E-55</v>
      </c>
      <c r="F108">
        <v>61.54</v>
      </c>
      <c r="G108" t="str">
        <f>HYPERLINK("https://www.ncbi.nlm.nih.gov/nucleotide/XM_024486644.1?report=genbank&amp;log$=nucltop&amp;blast_rank=3&amp;RID=GYS3CJWW013","XM_024486644.1")</f>
        <v>XM_024486644.1</v>
      </c>
    </row>
    <row r="109" spans="1:7" x14ac:dyDescent="0.35">
      <c r="A109" t="s">
        <v>109</v>
      </c>
      <c r="B109">
        <v>188</v>
      </c>
      <c r="C109">
        <v>188</v>
      </c>
      <c r="D109" s="2">
        <v>0.27</v>
      </c>
      <c r="E109" s="3">
        <v>8.9999999999999997E-54</v>
      </c>
      <c r="F109">
        <v>59.57</v>
      </c>
      <c r="G109" t="str">
        <f>HYPERLINK("https://www.ncbi.nlm.nih.gov/nucleotide/XM_007870492.1?report=genbank&amp;log$=nucltop&amp;blast_rank=4&amp;RID=GYS3CJWW013","XM_007870492.1")</f>
        <v>XM_007870492.1</v>
      </c>
    </row>
    <row r="110" spans="1:7" x14ac:dyDescent="0.35">
      <c r="A110" t="s">
        <v>19</v>
      </c>
      <c r="B110">
        <v>215</v>
      </c>
      <c r="C110">
        <v>215</v>
      </c>
      <c r="D110" s="2">
        <v>0.35</v>
      </c>
      <c r="E110" s="3">
        <v>5.0000000000000001E-60</v>
      </c>
      <c r="F110">
        <v>59.55</v>
      </c>
      <c r="G110" t="str">
        <f>HYPERLINK("https://www.ncbi.nlm.nih.gov/nucleotide/XM_001880888.1?report=genbank&amp;log$=nucltop&amp;blast_rank=5&amp;RID=GYS3CJWW013","XM_001880888.1")</f>
        <v>XM_001880888.1</v>
      </c>
    </row>
    <row r="111" spans="1:7" x14ac:dyDescent="0.35">
      <c r="A111" t="s">
        <v>21</v>
      </c>
      <c r="B111">
        <v>179</v>
      </c>
      <c r="C111">
        <v>179</v>
      </c>
      <c r="D111" s="2">
        <v>0.25</v>
      </c>
      <c r="E111" s="3">
        <v>2.9999999999999999E-50</v>
      </c>
      <c r="F111">
        <v>58.91</v>
      </c>
      <c r="G111" t="str">
        <f>HYPERLINK("https://www.ncbi.nlm.nih.gov/nucleotide/XM_009546988.1?report=genbank&amp;log$=nucltop&amp;blast_rank=6&amp;RID=GYS3CJWW013","XM_009546988.1")</f>
        <v>XM_009546988.1</v>
      </c>
    </row>
    <row r="112" spans="1:7" x14ac:dyDescent="0.35">
      <c r="A112" t="s">
        <v>111</v>
      </c>
      <c r="B112">
        <v>224</v>
      </c>
      <c r="C112">
        <v>224</v>
      </c>
      <c r="D112" s="2">
        <v>0.37</v>
      </c>
      <c r="E112" s="3">
        <v>3.0000000000000002E-66</v>
      </c>
      <c r="F112">
        <v>57.98</v>
      </c>
      <c r="G112" t="str">
        <f>HYPERLINK("https://www.ncbi.nlm.nih.gov/nucleotide/XM_007330300.1?report=genbank&amp;log$=nucltop&amp;blast_rank=7&amp;RID=GYS3CJWW013","XM_007330300.1")</f>
        <v>XM_007330300.1</v>
      </c>
    </row>
    <row r="113" spans="1:7" x14ac:dyDescent="0.35">
      <c r="A113" t="s">
        <v>112</v>
      </c>
      <c r="B113">
        <v>171</v>
      </c>
      <c r="C113">
        <v>171</v>
      </c>
      <c r="D113" s="2">
        <v>0.24</v>
      </c>
      <c r="E113" s="3">
        <v>5.0000000000000001E-47</v>
      </c>
      <c r="F113">
        <v>57.34</v>
      </c>
      <c r="G113" t="str">
        <f>HYPERLINK("https://www.ncbi.nlm.nih.gov/nucleotide/XM_007393520.1?report=genbank&amp;log$=nucltop&amp;blast_rank=8&amp;RID=GYS3CJWW013","XM_007393520.1")</f>
        <v>XM_007393520.1</v>
      </c>
    </row>
    <row r="114" spans="1:7" x14ac:dyDescent="0.35">
      <c r="A114" t="s">
        <v>113</v>
      </c>
      <c r="B114">
        <v>192</v>
      </c>
      <c r="C114">
        <v>192</v>
      </c>
      <c r="D114" s="2">
        <v>0.34</v>
      </c>
      <c r="E114" s="3">
        <v>3.0000000000000002E-55</v>
      </c>
      <c r="F114">
        <v>55.68</v>
      </c>
      <c r="G114" t="str">
        <f>HYPERLINK("https://www.ncbi.nlm.nih.gov/nucleotide/XM_008041408.1?report=genbank&amp;log$=nucltop&amp;blast_rank=9&amp;RID=GYS3CJWW013","XM_008041408.1")</f>
        <v>XM_008041408.1</v>
      </c>
    </row>
    <row r="115" spans="1:7" x14ac:dyDescent="0.35">
      <c r="A115" t="s">
        <v>114</v>
      </c>
      <c r="B115">
        <v>198</v>
      </c>
      <c r="C115">
        <v>198</v>
      </c>
      <c r="D115" s="2">
        <v>0.33</v>
      </c>
      <c r="E115" s="3">
        <v>3E-52</v>
      </c>
      <c r="F115">
        <v>55.56</v>
      </c>
      <c r="G115" t="str">
        <f>HYPERLINK("https://www.ncbi.nlm.nih.gov/nucleotide/LR724670.1?report=genbank&amp;log$=nucltop&amp;blast_rank=10&amp;RID=GYS3CJWW013","LR724670.1")</f>
        <v>LR724670.1</v>
      </c>
    </row>
    <row r="116" spans="1:7" x14ac:dyDescent="0.35">
      <c r="A116" t="s">
        <v>122</v>
      </c>
      <c r="B116">
        <v>196</v>
      </c>
      <c r="C116">
        <v>196</v>
      </c>
      <c r="D116" s="2">
        <v>0.33</v>
      </c>
      <c r="E116" s="3">
        <v>3E-51</v>
      </c>
      <c r="F116">
        <v>55.56</v>
      </c>
      <c r="G116" t="str">
        <f>HYPERLINK("https://www.ncbi.nlm.nih.gov/nucleotide/XM_007362291.1?report=genbank&amp;log$=nucltop&amp;blast_rank=11&amp;RID=GYS3CJWW013","XM_007362291.1")</f>
        <v>XM_007362291.1</v>
      </c>
    </row>
    <row r="117" spans="1:7" x14ac:dyDescent="0.35">
      <c r="A117" s="4" t="s">
        <v>799</v>
      </c>
      <c r="B117" s="4">
        <v>177</v>
      </c>
      <c r="C117" s="4">
        <v>177</v>
      </c>
      <c r="D117" s="5">
        <v>0.34</v>
      </c>
      <c r="E117" s="6">
        <v>3.9999999999999997E-49</v>
      </c>
      <c r="F117" s="4">
        <v>54.24</v>
      </c>
      <c r="G117" s="4" t="str">
        <f>HYPERLINK("https://www.ncbi.nlm.nih.gov/nucleotide/XM_041364349.1?report=genbank&amp;log$=nucltop&amp;blast_rank=12&amp;RID=GYS3CJWW013","XM_041364349.1")</f>
        <v>XM_041364349.1</v>
      </c>
    </row>
    <row r="118" spans="1:7" x14ac:dyDescent="0.35">
      <c r="A118" s="4" t="s">
        <v>800</v>
      </c>
      <c r="B118" s="4">
        <v>178</v>
      </c>
      <c r="C118" s="4">
        <v>178</v>
      </c>
      <c r="D118" s="5">
        <v>0.34</v>
      </c>
      <c r="E118" s="6">
        <v>3.9999999999999997E-49</v>
      </c>
      <c r="F118" s="4">
        <v>54.24</v>
      </c>
      <c r="G118" s="4" t="str">
        <f>HYPERLINK("https://www.ncbi.nlm.nih.gov/nucleotide/XM_041439725.1?report=genbank&amp;log$=nucltop&amp;blast_rank=13&amp;RID=GYS3CJWW013","XM_041439725.1")</f>
        <v>XM_041439725.1</v>
      </c>
    </row>
    <row r="119" spans="1:7" x14ac:dyDescent="0.35">
      <c r="A119" t="s">
        <v>116</v>
      </c>
      <c r="B119">
        <v>197</v>
      </c>
      <c r="C119">
        <v>197</v>
      </c>
      <c r="D119" s="2">
        <v>0.33</v>
      </c>
      <c r="E119" s="3">
        <v>1E-51</v>
      </c>
      <c r="F119">
        <v>53.8</v>
      </c>
      <c r="G119" t="str">
        <f>HYPERLINK("https://www.ncbi.nlm.nih.gov/nucleotide/XM_007299403.1?report=genbank&amp;log$=nucltop&amp;blast_rank=14&amp;RID=GYS3CJWW013","XM_007299403.1")</f>
        <v>XM_007299403.1</v>
      </c>
    </row>
    <row r="120" spans="1:7" x14ac:dyDescent="0.35">
      <c r="A120" t="s">
        <v>115</v>
      </c>
      <c r="B120">
        <v>195</v>
      </c>
      <c r="C120">
        <v>195</v>
      </c>
      <c r="D120" s="2">
        <v>0.33</v>
      </c>
      <c r="E120" s="3">
        <v>4.0000000000000002E-56</v>
      </c>
      <c r="F120">
        <v>53.22</v>
      </c>
      <c r="G120" t="str">
        <f>HYPERLINK("https://www.ncbi.nlm.nih.gov/nucleotide/XM_007388990.1?report=genbank&amp;log$=nucltop&amp;blast_rank=15&amp;RID=GYS3CJWW013","XM_007388990.1")</f>
        <v>XM_007388990.1</v>
      </c>
    </row>
    <row r="121" spans="1:7" x14ac:dyDescent="0.35">
      <c r="A121" s="4" t="s">
        <v>801</v>
      </c>
      <c r="B121" s="4">
        <v>177</v>
      </c>
      <c r="C121" s="4">
        <v>177</v>
      </c>
      <c r="D121" s="5">
        <v>0.35</v>
      </c>
      <c r="E121" s="6">
        <v>1.9999999999999999E-49</v>
      </c>
      <c r="F121" s="4">
        <v>53.04</v>
      </c>
      <c r="G121" s="4" t="str">
        <f>HYPERLINK("https://www.ncbi.nlm.nih.gov/nucleotide/XM_041330466.1?report=genbank&amp;log$=nucltop&amp;blast_rank=16&amp;RID=GYS3CJWW013","XM_041330466.1")</f>
        <v>XM_041330466.1</v>
      </c>
    </row>
    <row r="122" spans="1:7" x14ac:dyDescent="0.35">
      <c r="A122" t="s">
        <v>802</v>
      </c>
      <c r="B122">
        <v>185</v>
      </c>
      <c r="C122">
        <v>185</v>
      </c>
      <c r="D122" s="2">
        <v>0.35</v>
      </c>
      <c r="E122" s="3">
        <v>2E-46</v>
      </c>
      <c r="F122">
        <v>52.49</v>
      </c>
      <c r="G122" t="str">
        <f>HYPERLINK("https://www.ncbi.nlm.nih.gov/nucleotide/XM_041384245.1?report=genbank&amp;log$=nucltop&amp;blast_rank=17&amp;RID=GYS3CJWW013","XM_041384245.1")</f>
        <v>XM_041384245.1</v>
      </c>
    </row>
    <row r="123" spans="1:7" x14ac:dyDescent="0.35">
      <c r="A123" t="s">
        <v>119</v>
      </c>
      <c r="B123">
        <v>193</v>
      </c>
      <c r="C123">
        <v>193</v>
      </c>
      <c r="D123" s="2">
        <v>0.37</v>
      </c>
      <c r="E123" s="3">
        <v>7.9999999999999995E-49</v>
      </c>
      <c r="F123">
        <v>52.41</v>
      </c>
      <c r="G123" t="str">
        <f>HYPERLINK("https://www.ncbi.nlm.nih.gov/nucleotide/XM_027763465.1?report=genbank&amp;log$=nucltop&amp;blast_rank=18&amp;RID=GYS3CJWW013","XM_027763465.1")</f>
        <v>XM_027763465.1</v>
      </c>
    </row>
    <row r="124" spans="1:7" x14ac:dyDescent="0.35">
      <c r="A124" s="4" t="s">
        <v>117</v>
      </c>
      <c r="B124" s="4">
        <v>194</v>
      </c>
      <c r="C124" s="4">
        <v>194</v>
      </c>
      <c r="D124" s="5">
        <v>0.34</v>
      </c>
      <c r="E124" s="6">
        <v>3E-51</v>
      </c>
      <c r="F124" s="4">
        <v>52.25</v>
      </c>
      <c r="G124" s="4" t="str">
        <f>HYPERLINK("https://www.ncbi.nlm.nih.gov/nucleotide/XM_037359091.1?report=genbank&amp;log$=nucltop&amp;blast_rank=19&amp;RID=GYS3CJWW013","XM_037359091.1")</f>
        <v>XM_037359091.1</v>
      </c>
    </row>
    <row r="125" spans="1:7" x14ac:dyDescent="0.35">
      <c r="A125" t="s">
        <v>118</v>
      </c>
      <c r="B125">
        <v>228</v>
      </c>
      <c r="C125">
        <v>228</v>
      </c>
      <c r="D125" s="2">
        <v>0.44</v>
      </c>
      <c r="E125" s="3">
        <v>3.0000000000000001E-64</v>
      </c>
      <c r="F125">
        <v>51.77</v>
      </c>
      <c r="G125" t="str">
        <f>HYPERLINK("https://www.ncbi.nlm.nih.gov/nucleotide/XM_006459160.1?report=genbank&amp;log$=nucltop&amp;blast_rank=20&amp;RID=GYS3CJWW013","XM_006459160.1")</f>
        <v>XM_006459160.1</v>
      </c>
    </row>
    <row r="126" spans="1:7" x14ac:dyDescent="0.35">
      <c r="A126" s="4" t="s">
        <v>803</v>
      </c>
      <c r="B126" s="4">
        <v>169</v>
      </c>
      <c r="C126" s="4">
        <v>169</v>
      </c>
      <c r="D126" s="5">
        <v>0.33</v>
      </c>
      <c r="E126" s="6">
        <v>2.9999999999999999E-46</v>
      </c>
      <c r="F126" s="4">
        <v>51.72</v>
      </c>
      <c r="G126" s="4" t="str">
        <f>HYPERLINK("https://www.ncbi.nlm.nih.gov/nucleotide/XM_041313411.1?report=genbank&amp;log$=nucltop&amp;blast_rank=21&amp;RID=GYS3CJWW013","XM_041313411.1")</f>
        <v>XM_041313411.1</v>
      </c>
    </row>
    <row r="127" spans="1:7" x14ac:dyDescent="0.35">
      <c r="A127" s="4" t="s">
        <v>804</v>
      </c>
      <c r="B127" s="4">
        <v>176</v>
      </c>
      <c r="C127" s="4">
        <v>176</v>
      </c>
      <c r="D127" s="5">
        <v>0.36</v>
      </c>
      <c r="E127" s="6">
        <v>1.9999999999999999E-48</v>
      </c>
      <c r="F127" s="4">
        <v>51.3</v>
      </c>
      <c r="G127" s="4" t="str">
        <f>HYPERLINK("https://www.ncbi.nlm.nih.gov/nucleotide/XM_041451528.1?report=genbank&amp;log$=nucltop&amp;blast_rank=22&amp;RID=GYS3CJWW013","XM_041451528.1")</f>
        <v>XM_041451528.1</v>
      </c>
    </row>
    <row r="128" spans="1:7" x14ac:dyDescent="0.35">
      <c r="A128" t="s">
        <v>805</v>
      </c>
      <c r="B128">
        <v>195</v>
      </c>
      <c r="C128">
        <v>195</v>
      </c>
      <c r="D128" s="2">
        <v>0.36</v>
      </c>
      <c r="E128" s="3">
        <v>5.9999999999999998E-56</v>
      </c>
      <c r="F128">
        <v>51.06</v>
      </c>
      <c r="G128" t="str">
        <f>HYPERLINK("https://www.ncbi.nlm.nih.gov/nucleotide/XM_040905184.1?report=genbank&amp;log$=nucltop&amp;blast_rank=23&amp;RID=GYS3CJWW013","XM_040905184.1")</f>
        <v>XM_040905184.1</v>
      </c>
    </row>
    <row r="129" spans="1:7" x14ac:dyDescent="0.35">
      <c r="A129" s="4" t="s">
        <v>806</v>
      </c>
      <c r="B129" s="4">
        <v>181</v>
      </c>
      <c r="C129" s="4">
        <v>181</v>
      </c>
      <c r="D129" s="5">
        <v>0.37</v>
      </c>
      <c r="E129" s="6">
        <v>4E-50</v>
      </c>
      <c r="F129" s="4">
        <v>50.5</v>
      </c>
      <c r="G129" s="4" t="str">
        <f>HYPERLINK("https://www.ncbi.nlm.nih.gov/nucleotide/XM_041309180.1?report=genbank&amp;log$=nucltop&amp;blast_rank=24&amp;RID=GYS3CJWW013","XM_041309180.1")</f>
        <v>XM_041309180.1</v>
      </c>
    </row>
    <row r="130" spans="1:7" x14ac:dyDescent="0.35">
      <c r="A130" t="s">
        <v>742</v>
      </c>
      <c r="B130">
        <v>221</v>
      </c>
      <c r="C130">
        <v>221</v>
      </c>
      <c r="D130" s="2">
        <v>0.5</v>
      </c>
      <c r="E130" s="3">
        <v>1E-61</v>
      </c>
      <c r="F130">
        <v>49.63</v>
      </c>
      <c r="G130" t="str">
        <f>HYPERLINK("https://www.ncbi.nlm.nih.gov/nucleotide/XM_036779061.1?report=genbank&amp;log$=nucltop&amp;blast_rank=25&amp;RID=GYS3CJWW013","XM_036779061.1")</f>
        <v>XM_036779061.1</v>
      </c>
    </row>
    <row r="131" spans="1:7" x14ac:dyDescent="0.35">
      <c r="A131" t="s">
        <v>137</v>
      </c>
      <c r="B131">
        <v>233</v>
      </c>
      <c r="C131">
        <v>233</v>
      </c>
      <c r="D131" s="2">
        <v>0.49</v>
      </c>
      <c r="E131" s="3">
        <v>4.9999999999999996E-66</v>
      </c>
      <c r="F131">
        <v>49.03</v>
      </c>
      <c r="G131" t="str">
        <f>HYPERLINK("https://www.ncbi.nlm.nih.gov/nucleotide/XM_001836370.2?report=genbank&amp;log$=nucltop&amp;blast_rank=26&amp;RID=GYS3CJWW013","XM_001836370.2")</f>
        <v>XM_001836370.2</v>
      </c>
    </row>
    <row r="132" spans="1:7" x14ac:dyDescent="0.35">
      <c r="A132" t="s">
        <v>17</v>
      </c>
      <c r="B132">
        <v>207</v>
      </c>
      <c r="C132">
        <v>207</v>
      </c>
      <c r="D132" s="2">
        <v>0.44</v>
      </c>
      <c r="E132" s="3">
        <v>2.0000000000000001E-53</v>
      </c>
      <c r="F132">
        <v>45.35</v>
      </c>
      <c r="G132" t="str">
        <f>HYPERLINK("https://www.ncbi.nlm.nih.gov/nucleotide/CP015461.1?report=genbank&amp;log$=nucltop&amp;blast_rank=27&amp;RID=GYS3CJWW013","CP015461.1")</f>
        <v>CP015461.1</v>
      </c>
    </row>
    <row r="133" spans="1:7" x14ac:dyDescent="0.35">
      <c r="A133" t="s">
        <v>18</v>
      </c>
      <c r="B133">
        <v>206</v>
      </c>
      <c r="C133">
        <v>206</v>
      </c>
      <c r="D133" s="2">
        <v>0.44</v>
      </c>
      <c r="E133" s="3">
        <v>3.0000000000000002E-53</v>
      </c>
      <c r="F133">
        <v>45.35</v>
      </c>
      <c r="G133" t="str">
        <f>HYPERLINK("https://www.ncbi.nlm.nih.gov/nucleotide/CP015474.1?report=genbank&amp;log$=nucltop&amp;blast_rank=28&amp;RID=GYS3CJWW013","CP015474.1")</f>
        <v>CP015474.1</v>
      </c>
    </row>
    <row r="134" spans="1:7" x14ac:dyDescent="0.35">
      <c r="A134" t="s">
        <v>16</v>
      </c>
      <c r="B134">
        <v>206</v>
      </c>
      <c r="C134">
        <v>206</v>
      </c>
      <c r="D134" s="2">
        <v>0.44</v>
      </c>
      <c r="E134" s="3">
        <v>3.0000000000000002E-53</v>
      </c>
      <c r="F134">
        <v>45.35</v>
      </c>
      <c r="G134" t="str">
        <f>HYPERLINK("https://www.ncbi.nlm.nih.gov/nucleotide/CP039877.1?report=genbank&amp;log$=nucltop&amp;blast_rank=29&amp;RID=GYS3CJWW013","CP039877.1")</f>
        <v>CP039877.1</v>
      </c>
    </row>
    <row r="135" spans="1:7" x14ac:dyDescent="0.35">
      <c r="A135" t="s">
        <v>110</v>
      </c>
      <c r="B135">
        <v>211</v>
      </c>
      <c r="C135">
        <v>211</v>
      </c>
      <c r="D135" s="2">
        <v>0.5</v>
      </c>
      <c r="E135" s="3">
        <v>6.0000000000000002E-61</v>
      </c>
      <c r="F135">
        <v>45.25</v>
      </c>
      <c r="G135" t="str">
        <f>HYPERLINK("https://www.ncbi.nlm.nih.gov/nucleotide/XM_003033916.1?report=genbank&amp;log$=nucltop&amp;blast_rank=30&amp;RID=GYS3CJWW013","XM_003033916.1")</f>
        <v>XM_003033916.1</v>
      </c>
    </row>
    <row r="136" spans="1:7" x14ac:dyDescent="0.35">
      <c r="A136" t="s">
        <v>121</v>
      </c>
      <c r="B136">
        <v>166</v>
      </c>
      <c r="C136">
        <v>166</v>
      </c>
      <c r="D136" s="2">
        <v>0.34</v>
      </c>
      <c r="E136" s="3">
        <v>9.9999999999999995E-45</v>
      </c>
      <c r="F136">
        <v>44.77</v>
      </c>
      <c r="G136" t="str">
        <f>HYPERLINK("https://www.ncbi.nlm.nih.gov/nucleotide/XM_007263292.1?report=genbank&amp;log$=nucltop&amp;blast_rank=31&amp;RID=GYS3CJWW013","XM_007263292.1")</f>
        <v>XM_007263292.1</v>
      </c>
    </row>
    <row r="137" spans="1:7" x14ac:dyDescent="0.35">
      <c r="A137" t="s">
        <v>807</v>
      </c>
      <c r="B137">
        <v>188</v>
      </c>
      <c r="C137">
        <v>188</v>
      </c>
      <c r="D137" s="2">
        <v>0.49</v>
      </c>
      <c r="E137" s="3">
        <v>3.0000000000000002E-47</v>
      </c>
      <c r="F137">
        <v>43.48</v>
      </c>
      <c r="G137" t="str">
        <f>HYPERLINK("https://www.ncbi.nlm.nih.gov/nucleotide/XM_041356125.1?report=genbank&amp;log$=nucltop&amp;blast_rank=32&amp;RID=GYS3CJWW013","XM_041356125.1")</f>
        <v>XM_041356125.1</v>
      </c>
    </row>
    <row r="138" spans="1:7" x14ac:dyDescent="0.35">
      <c r="A138" t="s">
        <v>125</v>
      </c>
      <c r="B138">
        <v>105</v>
      </c>
      <c r="C138">
        <v>105</v>
      </c>
      <c r="D138" s="2">
        <v>0.24</v>
      </c>
      <c r="E138" s="3">
        <v>1E-22</v>
      </c>
      <c r="F138">
        <v>43.2</v>
      </c>
      <c r="G138" t="str">
        <f>HYPERLINK("https://www.ncbi.nlm.nih.gov/nucleotide/XM_019169940.1?report=genbank&amp;log$=nucltop&amp;blast_rank=33&amp;RID=GYS3CJWW013","XM_019169940.1")</f>
        <v>XM_019169940.1</v>
      </c>
    </row>
    <row r="139" spans="1:7" x14ac:dyDescent="0.35">
      <c r="A139" t="s">
        <v>131</v>
      </c>
      <c r="B139">
        <v>116</v>
      </c>
      <c r="C139">
        <v>116</v>
      </c>
      <c r="D139" s="2">
        <v>0.25</v>
      </c>
      <c r="E139" s="3">
        <v>6.9999999999999993E-24</v>
      </c>
      <c r="F139">
        <v>41.98</v>
      </c>
      <c r="G139" t="str">
        <f>HYPERLINK("https://www.ncbi.nlm.nih.gov/nucleotide/XM_025316520.1?report=genbank&amp;log$=nucltop&amp;blast_rank=34&amp;RID=GYS3CJWW013","XM_025316520.1")</f>
        <v>XM_025316520.1</v>
      </c>
    </row>
    <row r="140" spans="1:7" x14ac:dyDescent="0.35">
      <c r="A140" s="4" t="s">
        <v>127</v>
      </c>
      <c r="B140" s="4">
        <v>122</v>
      </c>
      <c r="C140" s="4">
        <v>122</v>
      </c>
      <c r="D140" s="5">
        <v>0.26</v>
      </c>
      <c r="E140" s="6">
        <v>2.0000000000000001E-25</v>
      </c>
      <c r="F140" s="4">
        <v>41.83</v>
      </c>
      <c r="G140" s="4" t="str">
        <f>HYPERLINK("https://www.ncbi.nlm.nih.gov/nucleotide/XM_037363786.1?report=genbank&amp;log$=nucltop&amp;blast_rank=35&amp;RID=GYS3CJWW013","XM_037363786.1")</f>
        <v>XM_037363786.1</v>
      </c>
    </row>
    <row r="141" spans="1:7" x14ac:dyDescent="0.35">
      <c r="A141" t="s">
        <v>123</v>
      </c>
      <c r="B141">
        <v>128</v>
      </c>
      <c r="C141">
        <v>128</v>
      </c>
      <c r="D141" s="2">
        <v>0.24</v>
      </c>
      <c r="E141" s="3">
        <v>4.0000000000000002E-27</v>
      </c>
      <c r="F141">
        <v>41.78</v>
      </c>
      <c r="G141" t="str">
        <f>HYPERLINK("https://www.ncbi.nlm.nih.gov/nucleotide/XM_025744195.1?report=genbank&amp;log$=nucltop&amp;blast_rank=36&amp;RID=GYS3CJWW013","XM_025744195.1")</f>
        <v>XM_025744195.1</v>
      </c>
    </row>
    <row r="142" spans="1:7" x14ac:dyDescent="0.35">
      <c r="A142" t="s">
        <v>126</v>
      </c>
      <c r="B142">
        <v>140</v>
      </c>
      <c r="C142">
        <v>140</v>
      </c>
      <c r="D142" s="2">
        <v>0.26</v>
      </c>
      <c r="E142" s="3">
        <v>2.9999999999999998E-31</v>
      </c>
      <c r="F142">
        <v>41.61</v>
      </c>
      <c r="G142" t="str">
        <f>HYPERLINK("https://www.ncbi.nlm.nih.gov/nucleotide/XM_007769767.1?report=genbank&amp;log$=nucltop&amp;blast_rank=37&amp;RID=GYS3CJWW013","XM_007769767.1")</f>
        <v>XM_007769767.1</v>
      </c>
    </row>
    <row r="143" spans="1:7" x14ac:dyDescent="0.35">
      <c r="A143" t="s">
        <v>128</v>
      </c>
      <c r="B143">
        <v>116</v>
      </c>
      <c r="C143">
        <v>116</v>
      </c>
      <c r="D143" s="2">
        <v>0.25</v>
      </c>
      <c r="E143" s="3">
        <v>9.9999999999999996E-24</v>
      </c>
      <c r="F143">
        <v>41.26</v>
      </c>
      <c r="G143" t="str">
        <f>HYPERLINK("https://www.ncbi.nlm.nih.gov/nucleotide/XM_006958724.1?report=genbank&amp;log$=nucltop&amp;blast_rank=38&amp;RID=GYS3CJWW013","XM_006958724.1")</f>
        <v>XM_006958724.1</v>
      </c>
    </row>
    <row r="144" spans="1:7" x14ac:dyDescent="0.35">
      <c r="A144" t="s">
        <v>120</v>
      </c>
      <c r="B144">
        <v>211</v>
      </c>
      <c r="C144">
        <v>211</v>
      </c>
      <c r="D144" s="2">
        <v>0.48</v>
      </c>
      <c r="E144" s="3">
        <v>9.9999999999999995E-58</v>
      </c>
      <c r="F144">
        <v>41.24</v>
      </c>
      <c r="G144" t="str">
        <f>HYPERLINK("https://www.ncbi.nlm.nih.gov/nucleotide/XM_012325304.1?report=genbank&amp;log$=nucltop&amp;blast_rank=39&amp;RID=GYS3CJWW013","XM_012325304.1")</f>
        <v>XM_012325304.1</v>
      </c>
    </row>
    <row r="145" spans="1:7" x14ac:dyDescent="0.35">
      <c r="A145" t="s">
        <v>126</v>
      </c>
      <c r="B145">
        <v>176</v>
      </c>
      <c r="C145">
        <v>176</v>
      </c>
      <c r="D145" s="2">
        <v>0.48</v>
      </c>
      <c r="E145" s="3">
        <v>3E-43</v>
      </c>
      <c r="F145">
        <v>40.94</v>
      </c>
      <c r="G145" t="str">
        <f>HYPERLINK("https://www.ncbi.nlm.nih.gov/nucleotide/XM_007767799.1?report=genbank&amp;log$=nucltop&amp;blast_rank=40&amp;RID=GYS3CJWW013","XM_007767799.1")</f>
        <v>XM_007767799.1</v>
      </c>
    </row>
    <row r="146" spans="1:7" x14ac:dyDescent="0.35">
      <c r="A146" t="s">
        <v>130</v>
      </c>
      <c r="B146">
        <v>112</v>
      </c>
      <c r="C146">
        <v>112</v>
      </c>
      <c r="D146" s="2">
        <v>0.25</v>
      </c>
      <c r="E146" s="3">
        <v>5.9999999999999995E-25</v>
      </c>
      <c r="F146">
        <v>40</v>
      </c>
      <c r="G146" t="str">
        <f>HYPERLINK("https://www.ncbi.nlm.nih.gov/nucleotide/XM_018412799.1?report=genbank&amp;log$=nucltop&amp;blast_rank=41&amp;RID=GYS3CJWW013","XM_018412799.1")</f>
        <v>XM_018412799.1</v>
      </c>
    </row>
    <row r="147" spans="1:7" x14ac:dyDescent="0.35">
      <c r="A147" t="s">
        <v>136</v>
      </c>
      <c r="B147">
        <v>122</v>
      </c>
      <c r="C147">
        <v>122</v>
      </c>
      <c r="D147" s="2">
        <v>0.25</v>
      </c>
      <c r="E147" s="3">
        <v>1E-25</v>
      </c>
      <c r="F147">
        <v>38.99</v>
      </c>
      <c r="G147" t="str">
        <f>HYPERLINK("https://www.ncbi.nlm.nih.gov/nucleotide/XM_024479541.1?report=genbank&amp;log$=nucltop&amp;blast_rank=42&amp;RID=GYS3CJWW013","XM_024479541.1")</f>
        <v>XM_024479541.1</v>
      </c>
    </row>
    <row r="148" spans="1:7" x14ac:dyDescent="0.35">
      <c r="A148" t="s">
        <v>132</v>
      </c>
      <c r="B148">
        <v>116</v>
      </c>
      <c r="C148">
        <v>116</v>
      </c>
      <c r="D148" s="2">
        <v>0.25</v>
      </c>
      <c r="E148" s="3">
        <v>1.9999999999999999E-23</v>
      </c>
      <c r="F148">
        <v>38.93</v>
      </c>
      <c r="G148" t="str">
        <f>HYPERLINK("https://www.ncbi.nlm.nih.gov/nucleotide/XM_009267583.1?report=genbank&amp;log$=nucltop&amp;blast_rank=43&amp;RID=GYS3CJWW013","XM_009267583.1")</f>
        <v>XM_009267583.1</v>
      </c>
    </row>
    <row r="149" spans="1:7" x14ac:dyDescent="0.35">
      <c r="A149" t="s">
        <v>129</v>
      </c>
      <c r="B149">
        <v>108</v>
      </c>
      <c r="C149">
        <v>108</v>
      </c>
      <c r="D149" s="2">
        <v>0.28999999999999998</v>
      </c>
      <c r="E149" s="3">
        <v>9.9999999999999995E-21</v>
      </c>
      <c r="F149">
        <v>38.71</v>
      </c>
      <c r="G149" t="str">
        <f>HYPERLINK("https://www.ncbi.nlm.nih.gov/nucleotide/XM_001912109.1?report=genbank&amp;log$=nucltop&amp;blast_rank=44&amp;RID=GYS3CJWW013","XM_001912109.1")</f>
        <v>XM_001912109.1</v>
      </c>
    </row>
    <row r="150" spans="1:7" x14ac:dyDescent="0.35">
      <c r="A150" t="s">
        <v>135</v>
      </c>
      <c r="B150">
        <v>103</v>
      </c>
      <c r="C150">
        <v>103</v>
      </c>
      <c r="D150" s="2">
        <v>0.26</v>
      </c>
      <c r="E150" s="3">
        <v>5.0000000000000004E-19</v>
      </c>
      <c r="F150">
        <v>38.69</v>
      </c>
      <c r="G150" t="str">
        <f>HYPERLINK("https://www.ncbi.nlm.nih.gov/nucleotide/XM_007731990.1?report=genbank&amp;log$=nucltop&amp;blast_rank=45&amp;RID=GYS3CJWW013","XM_007731990.1")</f>
        <v>XM_007731990.1</v>
      </c>
    </row>
    <row r="151" spans="1:7" x14ac:dyDescent="0.35">
      <c r="A151" t="s">
        <v>157</v>
      </c>
      <c r="B151">
        <v>120</v>
      </c>
      <c r="C151">
        <v>120</v>
      </c>
      <c r="D151" s="2">
        <v>0.26</v>
      </c>
      <c r="E151" s="3">
        <v>9.9999999999999992E-25</v>
      </c>
      <c r="F151">
        <v>38.36</v>
      </c>
      <c r="G151" t="str">
        <f>HYPERLINK("https://www.ncbi.nlm.nih.gov/nucleotide/XM_006460100.1?report=genbank&amp;log$=nucltop&amp;blast_rank=46&amp;RID=GYS3CJWW013","XM_006460100.1")</f>
        <v>XM_006460100.1</v>
      </c>
    </row>
    <row r="152" spans="1:7" x14ac:dyDescent="0.35">
      <c r="A152" t="s">
        <v>158</v>
      </c>
      <c r="B152">
        <v>120</v>
      </c>
      <c r="C152">
        <v>120</v>
      </c>
      <c r="D152" s="2">
        <v>0.26</v>
      </c>
      <c r="E152" s="3">
        <v>9.9999999999999992E-25</v>
      </c>
      <c r="F152">
        <v>38.36</v>
      </c>
      <c r="G152" t="str">
        <f>HYPERLINK("https://www.ncbi.nlm.nih.gov/nucleotide/XM_007329370.1?report=genbank&amp;log$=nucltop&amp;blast_rank=47&amp;RID=GYS3CJWW013","XM_007329370.1")</f>
        <v>XM_007329370.1</v>
      </c>
    </row>
    <row r="153" spans="1:7" x14ac:dyDescent="0.35">
      <c r="A153" t="s">
        <v>140</v>
      </c>
      <c r="B153">
        <v>117</v>
      </c>
      <c r="C153">
        <v>117</v>
      </c>
      <c r="D153" s="2">
        <v>0.26</v>
      </c>
      <c r="E153" s="3">
        <v>9.9999999999999992E-25</v>
      </c>
      <c r="F153">
        <v>38.31</v>
      </c>
      <c r="G153" t="str">
        <f>HYPERLINK("https://www.ncbi.nlm.nih.gov/nucleotide/XM_007407307.1?report=genbank&amp;log$=nucltop&amp;blast_rank=48&amp;RID=GYS3CJWW013","XM_007407307.1")</f>
        <v>XM_007407307.1</v>
      </c>
    </row>
    <row r="154" spans="1:7" x14ac:dyDescent="0.35">
      <c r="A154" t="s">
        <v>808</v>
      </c>
      <c r="B154">
        <v>119</v>
      </c>
      <c r="C154">
        <v>119</v>
      </c>
      <c r="D154" s="2">
        <v>0.25</v>
      </c>
      <c r="E154" s="3">
        <v>1.9999999999999998E-24</v>
      </c>
      <c r="F154">
        <v>38.31</v>
      </c>
      <c r="G154" t="str">
        <f>HYPERLINK("https://www.ncbi.nlm.nih.gov/nucleotide/XM_039067136.1?report=genbank&amp;log$=nucltop&amp;blast_rank=49&amp;RID=GYS3CJWW013","XM_039067136.1")</f>
        <v>XM_039067136.1</v>
      </c>
    </row>
    <row r="155" spans="1:7" x14ac:dyDescent="0.35">
      <c r="A155" t="s">
        <v>113</v>
      </c>
      <c r="B155">
        <v>122</v>
      </c>
      <c r="C155">
        <v>122</v>
      </c>
      <c r="D155" s="2">
        <v>0.26</v>
      </c>
      <c r="E155" s="3">
        <v>2.0000000000000001E-25</v>
      </c>
      <c r="F155">
        <v>38.119999999999997</v>
      </c>
      <c r="G155" t="str">
        <f>HYPERLINK("https://www.ncbi.nlm.nih.gov/nucleotide/XM_008037398.1?report=genbank&amp;log$=nucltop&amp;blast_rank=50&amp;RID=GYS3CJWW013","XM_008037398.1")</f>
        <v>XM_008037398.1</v>
      </c>
    </row>
    <row r="156" spans="1:7" x14ac:dyDescent="0.35">
      <c r="A156" t="s">
        <v>153</v>
      </c>
      <c r="B156">
        <v>120</v>
      </c>
      <c r="C156">
        <v>120</v>
      </c>
      <c r="D156" s="2">
        <v>0.25</v>
      </c>
      <c r="E156" s="3">
        <v>1.9999999999999998E-24</v>
      </c>
      <c r="F156">
        <v>37.909999999999997</v>
      </c>
      <c r="G156" t="str">
        <f>HYPERLINK("https://www.ncbi.nlm.nih.gov/nucleotide/LT795076.1?report=genbank&amp;log$=nucltop&amp;blast_rank=51&amp;RID=GYS3CJWW013","LT795076.1")</f>
        <v>LT795076.1</v>
      </c>
    </row>
    <row r="157" spans="1:7" x14ac:dyDescent="0.35">
      <c r="A157" t="s">
        <v>154</v>
      </c>
      <c r="B157">
        <v>120</v>
      </c>
      <c r="C157">
        <v>120</v>
      </c>
      <c r="D157" s="2">
        <v>0.25</v>
      </c>
      <c r="E157" s="3">
        <v>3E-24</v>
      </c>
      <c r="F157">
        <v>37.909999999999997</v>
      </c>
      <c r="G157" t="str">
        <f>HYPERLINK("https://www.ncbi.nlm.nih.gov/nucleotide/FQ311445.1?report=genbank&amp;log$=nucltop&amp;blast_rank=52&amp;RID=GYS3CJWW013","FQ311445.1")</f>
        <v>FQ311445.1</v>
      </c>
    </row>
    <row r="158" spans="1:7" x14ac:dyDescent="0.35">
      <c r="A158" t="s">
        <v>142</v>
      </c>
      <c r="B158">
        <v>104</v>
      </c>
      <c r="C158">
        <v>104</v>
      </c>
      <c r="D158" s="2">
        <v>0.27</v>
      </c>
      <c r="E158" s="3">
        <v>2E-19</v>
      </c>
      <c r="F158">
        <v>37.32</v>
      </c>
      <c r="G158" t="str">
        <f>HYPERLINK("https://www.ncbi.nlm.nih.gov/nucleotide/XM_013412294.1?report=genbank&amp;log$=nucltop&amp;blast_rank=53&amp;RID=GYS3CJWW013","XM_013412294.1")</f>
        <v>XM_013412294.1</v>
      </c>
    </row>
    <row r="159" spans="1:7" x14ac:dyDescent="0.35">
      <c r="A159" t="s">
        <v>146</v>
      </c>
      <c r="B159">
        <v>105</v>
      </c>
      <c r="C159">
        <v>105</v>
      </c>
      <c r="D159" s="2">
        <v>0.26</v>
      </c>
      <c r="E159" s="3">
        <v>9.9999999999999998E-20</v>
      </c>
      <c r="F159">
        <v>37.229999999999997</v>
      </c>
      <c r="G159" t="str">
        <f>HYPERLINK("https://www.ncbi.nlm.nih.gov/nucleotide/XM_016394547.1?report=genbank&amp;log$=nucltop&amp;blast_rank=54&amp;RID=GYS3CJWW013","XM_016394547.1")</f>
        <v>XM_016394547.1</v>
      </c>
    </row>
    <row r="160" spans="1:7" x14ac:dyDescent="0.35">
      <c r="A160" t="s">
        <v>169</v>
      </c>
      <c r="B160">
        <v>115</v>
      </c>
      <c r="C160">
        <v>115</v>
      </c>
      <c r="D160" s="2">
        <v>0.25</v>
      </c>
      <c r="E160" s="3">
        <v>6.0000000000000001E-23</v>
      </c>
      <c r="F160">
        <v>37.04</v>
      </c>
      <c r="G160" t="str">
        <f>HYPERLINK("https://www.ncbi.nlm.nih.gov/nucleotide/XM_007381794.1?report=genbank&amp;log$=nucltop&amp;blast_rank=55&amp;RID=GYS3CJWW013","XM_007381794.1")</f>
        <v>XM_007381794.1</v>
      </c>
    </row>
    <row r="161" spans="1:7" x14ac:dyDescent="0.35">
      <c r="A161" t="s">
        <v>183</v>
      </c>
      <c r="B161">
        <v>111</v>
      </c>
      <c r="C161">
        <v>111</v>
      </c>
      <c r="D161" s="2">
        <v>0.25</v>
      </c>
      <c r="E161" s="3">
        <v>4.9999999999999998E-24</v>
      </c>
      <c r="F161">
        <v>36.770000000000003</v>
      </c>
      <c r="G161" t="str">
        <f>HYPERLINK("https://www.ncbi.nlm.nih.gov/nucleotide/XM_016436705.1?report=genbank&amp;log$=nucltop&amp;blast_rank=56&amp;RID=GYS3CJWW013","XM_016436705.1")</f>
        <v>XM_016436705.1</v>
      </c>
    </row>
    <row r="162" spans="1:7" x14ac:dyDescent="0.35">
      <c r="A162" t="s">
        <v>162</v>
      </c>
      <c r="B162">
        <v>103</v>
      </c>
      <c r="C162">
        <v>103</v>
      </c>
      <c r="D162" s="2">
        <v>0.26</v>
      </c>
      <c r="E162" s="3">
        <v>5.9999999999999999E-19</v>
      </c>
      <c r="F162">
        <v>36.76</v>
      </c>
      <c r="G162" t="str">
        <f>HYPERLINK("https://www.ncbi.nlm.nih.gov/nucleotide/XM_033735511.1?report=genbank&amp;log$=nucltop&amp;blast_rank=57&amp;RID=GYS3CJWW013","XM_033735511.1")</f>
        <v>XM_033735511.1</v>
      </c>
    </row>
    <row r="163" spans="1:7" x14ac:dyDescent="0.35">
      <c r="A163" t="s">
        <v>159</v>
      </c>
      <c r="B163">
        <v>120</v>
      </c>
      <c r="C163">
        <v>120</v>
      </c>
      <c r="D163" s="2">
        <v>0.27</v>
      </c>
      <c r="E163" s="3">
        <v>1.9999999999999998E-24</v>
      </c>
      <c r="F163">
        <v>36.69</v>
      </c>
      <c r="G163" t="str">
        <f>HYPERLINK("https://www.ncbi.nlm.nih.gov/nucleotide/XM_007364265.1?report=genbank&amp;log$=nucltop&amp;blast_rank=58&amp;RID=GYS3CJWW013","XM_007364265.1")</f>
        <v>XM_007364265.1</v>
      </c>
    </row>
    <row r="164" spans="1:7" x14ac:dyDescent="0.35">
      <c r="A164" t="s">
        <v>120</v>
      </c>
      <c r="B164">
        <v>120</v>
      </c>
      <c r="C164">
        <v>120</v>
      </c>
      <c r="D164" s="2">
        <v>0.26</v>
      </c>
      <c r="E164" s="3">
        <v>1.9999999999999998E-24</v>
      </c>
      <c r="F164">
        <v>36.65</v>
      </c>
      <c r="G164" t="str">
        <f>HYPERLINK("https://www.ncbi.nlm.nih.gov/nucleotide/XM_012325595.1?report=genbank&amp;log$=nucltop&amp;blast_rank=59&amp;RID=GYS3CJWW013","XM_012325595.1")</f>
        <v>XM_012325595.1</v>
      </c>
    </row>
    <row r="165" spans="1:7" x14ac:dyDescent="0.35">
      <c r="A165" t="s">
        <v>163</v>
      </c>
      <c r="B165">
        <v>115</v>
      </c>
      <c r="C165">
        <v>115</v>
      </c>
      <c r="D165" s="2">
        <v>0.36</v>
      </c>
      <c r="E165" s="3">
        <v>6.9999999999999999E-23</v>
      </c>
      <c r="F165">
        <v>36.56</v>
      </c>
      <c r="G165" t="str">
        <f>HYPERLINK("https://www.ncbi.nlm.nih.gov/nucleotide/XM_016416769.1?report=genbank&amp;log$=nucltop&amp;blast_rank=60&amp;RID=GYS3CJWW013","XM_016416769.1")</f>
        <v>XM_016416769.1</v>
      </c>
    </row>
    <row r="166" spans="1:7" x14ac:dyDescent="0.35">
      <c r="A166" t="s">
        <v>809</v>
      </c>
      <c r="B166">
        <v>119</v>
      </c>
      <c r="C166">
        <v>119</v>
      </c>
      <c r="D166" s="2">
        <v>0.25</v>
      </c>
      <c r="E166" s="3">
        <v>1.9999999999999998E-24</v>
      </c>
      <c r="F166">
        <v>36.54</v>
      </c>
      <c r="G166" t="str">
        <f>HYPERLINK("https://www.ncbi.nlm.nih.gov/nucleotide/XM_041556526.1?report=genbank&amp;log$=nucltop&amp;blast_rank=61&amp;RID=GYS3CJWW013","XM_041556526.1")</f>
        <v>XM_041556526.1</v>
      </c>
    </row>
    <row r="167" spans="1:7" x14ac:dyDescent="0.35">
      <c r="A167" t="s">
        <v>810</v>
      </c>
      <c r="B167">
        <v>118</v>
      </c>
      <c r="C167">
        <v>118</v>
      </c>
      <c r="D167" s="2">
        <v>0.25</v>
      </c>
      <c r="E167" s="3">
        <v>3.9999999999999997E-24</v>
      </c>
      <c r="F167">
        <v>36.479999999999997</v>
      </c>
      <c r="G167" t="str">
        <f>HYPERLINK("https://www.ncbi.nlm.nih.gov/nucleotide/XM_003036760.2?report=genbank&amp;log$=nucltop&amp;blast_rank=62&amp;RID=GYS3CJWW013","XM_003036760.2")</f>
        <v>XM_003036760.2</v>
      </c>
    </row>
    <row r="168" spans="1:7" x14ac:dyDescent="0.35">
      <c r="A168" t="s">
        <v>109</v>
      </c>
      <c r="B168">
        <v>117</v>
      </c>
      <c r="C168">
        <v>117</v>
      </c>
      <c r="D168" s="2">
        <v>0.25</v>
      </c>
      <c r="E168" s="3">
        <v>9.9999999999999996E-24</v>
      </c>
      <c r="F168">
        <v>36.36</v>
      </c>
      <c r="G168" t="str">
        <f>HYPERLINK("https://www.ncbi.nlm.nih.gov/nucleotide/XM_007864340.1?report=genbank&amp;log$=nucltop&amp;blast_rank=63&amp;RID=GYS3CJWW013","XM_007864340.1")</f>
        <v>XM_007864340.1</v>
      </c>
    </row>
    <row r="169" spans="1:7" x14ac:dyDescent="0.35">
      <c r="A169" t="s">
        <v>171</v>
      </c>
      <c r="B169">
        <v>112</v>
      </c>
      <c r="C169">
        <v>112</v>
      </c>
      <c r="D169" s="2">
        <v>0.24</v>
      </c>
      <c r="E169" s="3">
        <v>4.9999999999999995E-22</v>
      </c>
      <c r="F169">
        <v>36.18</v>
      </c>
      <c r="G169" t="str">
        <f>HYPERLINK("https://www.ncbi.nlm.nih.gov/nucleotide/XM_036774740.1?report=genbank&amp;log$=nucltop&amp;blast_rank=64&amp;RID=GYS3CJWW013","XM_036774740.1")</f>
        <v>XM_036774740.1</v>
      </c>
    </row>
    <row r="170" spans="1:7" x14ac:dyDescent="0.35">
      <c r="A170" t="s">
        <v>151</v>
      </c>
      <c r="B170">
        <v>107</v>
      </c>
      <c r="C170">
        <v>107</v>
      </c>
      <c r="D170" s="2">
        <v>0.32</v>
      </c>
      <c r="E170" s="3">
        <v>3.9999999999999998E-20</v>
      </c>
      <c r="F170">
        <v>36.14</v>
      </c>
      <c r="G170" t="str">
        <f>HYPERLINK("https://www.ncbi.nlm.nih.gov/nucleotide/XM_031136412.1?report=genbank&amp;log$=nucltop&amp;blast_rank=65&amp;RID=GYS3CJWW013","XM_031136412.1")</f>
        <v>XM_031136412.1</v>
      </c>
    </row>
    <row r="171" spans="1:7" x14ac:dyDescent="0.35">
      <c r="A171" t="s">
        <v>177</v>
      </c>
      <c r="B171">
        <v>100</v>
      </c>
      <c r="C171">
        <v>100</v>
      </c>
      <c r="D171" s="2">
        <v>0.27</v>
      </c>
      <c r="E171" s="3">
        <v>9.9999999999999998E-20</v>
      </c>
      <c r="F171">
        <v>35.979999999999997</v>
      </c>
      <c r="G171" t="str">
        <f>HYPERLINK("https://www.ncbi.nlm.nih.gov/nucleotide/XM_007771470.1?report=genbank&amp;log$=nucltop&amp;blast_rank=66&amp;RID=GYS3CJWW013","XM_007771470.1")</f>
        <v>XM_007771470.1</v>
      </c>
    </row>
    <row r="172" spans="1:7" x14ac:dyDescent="0.35">
      <c r="A172" t="s">
        <v>166</v>
      </c>
      <c r="B172">
        <v>117</v>
      </c>
      <c r="C172">
        <v>117</v>
      </c>
      <c r="D172" s="2">
        <v>0.25</v>
      </c>
      <c r="E172" s="3">
        <v>1.9999999999999999E-23</v>
      </c>
      <c r="F172">
        <v>35.9</v>
      </c>
      <c r="G172" t="str">
        <f>HYPERLINK("https://www.ncbi.nlm.nih.gov/nucleotide/CP060305.1?report=genbank&amp;log$=nucltop&amp;blast_rank=67&amp;RID=GYS3CJWW013","CP060305.1")</f>
        <v>CP060305.1</v>
      </c>
    </row>
    <row r="173" spans="1:7" x14ac:dyDescent="0.35">
      <c r="A173" t="s">
        <v>165</v>
      </c>
      <c r="B173">
        <v>115</v>
      </c>
      <c r="C173">
        <v>115</v>
      </c>
      <c r="D173" s="2">
        <v>0.25</v>
      </c>
      <c r="E173" s="3">
        <v>3.9999999999999998E-23</v>
      </c>
      <c r="F173">
        <v>35.9</v>
      </c>
      <c r="G173" t="str">
        <f>HYPERLINK("https://www.ncbi.nlm.nih.gov/nucleotide/XM_014798439.1?report=genbank&amp;log$=nucltop&amp;blast_rank=68&amp;RID=GYS3CJWW013","XM_014798439.1")</f>
        <v>XM_014798439.1</v>
      </c>
    </row>
    <row r="174" spans="1:7" x14ac:dyDescent="0.35">
      <c r="A174" t="s">
        <v>811</v>
      </c>
      <c r="B174">
        <v>117</v>
      </c>
      <c r="C174">
        <v>117</v>
      </c>
      <c r="D174" s="2">
        <v>0.25</v>
      </c>
      <c r="E174" s="3">
        <v>9.9999999999999996E-24</v>
      </c>
      <c r="F174">
        <v>35.85</v>
      </c>
      <c r="G174" t="str">
        <f>HYPERLINK("https://www.ncbi.nlm.nih.gov/nucleotide/XM_011394382.1?report=genbank&amp;log$=nucltop&amp;blast_rank=69&amp;RID=GYS3CJWW013","XM_011394382.1")</f>
        <v>XM_011394382.1</v>
      </c>
    </row>
    <row r="175" spans="1:7" x14ac:dyDescent="0.35">
      <c r="A175" t="s">
        <v>812</v>
      </c>
      <c r="B175">
        <v>121</v>
      </c>
      <c r="C175">
        <v>121</v>
      </c>
      <c r="D175" s="2">
        <v>0.26</v>
      </c>
      <c r="E175" s="3">
        <v>5.9999999999999995E-25</v>
      </c>
      <c r="F175">
        <v>35.619999999999997</v>
      </c>
      <c r="G175" t="str">
        <f>HYPERLINK("https://www.ncbi.nlm.nih.gov/nucleotide/XM_041379822.1?report=genbank&amp;log$=nucltop&amp;blast_rank=70&amp;RID=GYS3CJWW013","XM_041379822.1")</f>
        <v>XM_041379822.1</v>
      </c>
    </row>
    <row r="176" spans="1:7" x14ac:dyDescent="0.35">
      <c r="A176" t="s">
        <v>172</v>
      </c>
      <c r="B176">
        <v>116</v>
      </c>
      <c r="C176">
        <v>116</v>
      </c>
      <c r="D176" s="2">
        <v>0.25</v>
      </c>
      <c r="E176" s="3">
        <v>5.0000000000000002E-23</v>
      </c>
      <c r="F176">
        <v>35.44</v>
      </c>
      <c r="G176" t="str">
        <f>HYPERLINK("https://www.ncbi.nlm.nih.gov/nucleotide/LK056654.1?report=genbank&amp;log$=nucltop&amp;blast_rank=71&amp;RID=GYS3CJWW013","LK056654.1")</f>
        <v>LK056654.1</v>
      </c>
    </row>
    <row r="177" spans="1:7" x14ac:dyDescent="0.35">
      <c r="A177" t="s">
        <v>173</v>
      </c>
      <c r="B177">
        <v>116</v>
      </c>
      <c r="C177">
        <v>116</v>
      </c>
      <c r="D177" s="2">
        <v>0.25</v>
      </c>
      <c r="E177" s="3">
        <v>5.0000000000000002E-23</v>
      </c>
      <c r="F177">
        <v>35.44</v>
      </c>
      <c r="G177" t="str">
        <f>HYPERLINK("https://www.ncbi.nlm.nih.gov/nucleotide/CP010920.1?report=genbank&amp;log$=nucltop&amp;blast_rank=72&amp;RID=GYS3CJWW013","CP010920.1")</f>
        <v>CP010920.1</v>
      </c>
    </row>
    <row r="178" spans="1:7" x14ac:dyDescent="0.35">
      <c r="A178" t="s">
        <v>178</v>
      </c>
      <c r="B178">
        <v>115</v>
      </c>
      <c r="C178">
        <v>115</v>
      </c>
      <c r="D178" s="2">
        <v>0.24</v>
      </c>
      <c r="E178" s="3">
        <v>6.9999999999999999E-23</v>
      </c>
      <c r="F178">
        <v>35.29</v>
      </c>
      <c r="G178" t="str">
        <f>HYPERLINK("https://www.ncbi.nlm.nih.gov/nucleotide/XM_025502720.1?report=genbank&amp;log$=nucltop&amp;blast_rank=73&amp;RID=GYS3CJWW013","XM_025502720.1")</f>
        <v>XM_025502720.1</v>
      </c>
    </row>
    <row r="179" spans="1:7" x14ac:dyDescent="0.35">
      <c r="A179" t="s">
        <v>188</v>
      </c>
      <c r="B179">
        <v>111</v>
      </c>
      <c r="C179">
        <v>111</v>
      </c>
      <c r="D179" s="2">
        <v>0.24</v>
      </c>
      <c r="E179" s="3">
        <v>9.9999999999999991E-22</v>
      </c>
      <c r="F179">
        <v>35.29</v>
      </c>
      <c r="G179" t="str">
        <f>HYPERLINK("https://www.ncbi.nlm.nih.gov/nucleotide/XM_025521795.1?report=genbank&amp;log$=nucltop&amp;blast_rank=74&amp;RID=GYS3CJWW013","XM_025521795.1")</f>
        <v>XM_025521795.1</v>
      </c>
    </row>
    <row r="180" spans="1:7" x14ac:dyDescent="0.35">
      <c r="A180" t="s">
        <v>168</v>
      </c>
      <c r="B180">
        <v>103</v>
      </c>
      <c r="C180">
        <v>103</v>
      </c>
      <c r="D180" s="2">
        <v>0.32</v>
      </c>
      <c r="E180" s="3">
        <v>5.0000000000000004E-19</v>
      </c>
      <c r="F180">
        <v>35.29</v>
      </c>
      <c r="G180" t="str">
        <f>HYPERLINK("https://www.ncbi.nlm.nih.gov/nucleotide/XM_033727516.1?report=genbank&amp;log$=nucltop&amp;blast_rank=75&amp;RID=GYS3CJWW013","XM_033727516.1")</f>
        <v>XM_033727516.1</v>
      </c>
    </row>
    <row r="181" spans="1:7" x14ac:dyDescent="0.35">
      <c r="A181" t="s">
        <v>813</v>
      </c>
      <c r="B181">
        <v>122</v>
      </c>
      <c r="C181">
        <v>122</v>
      </c>
      <c r="D181" s="2">
        <v>0.31</v>
      </c>
      <c r="E181" s="3">
        <v>4.0000000000000002E-25</v>
      </c>
      <c r="F181">
        <v>35.14</v>
      </c>
      <c r="G181" t="str">
        <f>HYPERLINK("https://www.ncbi.nlm.nih.gov/nucleotide/XM_041344771.1?report=genbank&amp;log$=nucltop&amp;blast_rank=76&amp;RID=GYS3CJWW013","XM_041344771.1")</f>
        <v>XM_041344771.1</v>
      </c>
    </row>
    <row r="182" spans="1:7" x14ac:dyDescent="0.35">
      <c r="A182" t="s">
        <v>180</v>
      </c>
      <c r="B182">
        <v>103</v>
      </c>
      <c r="C182">
        <v>103</v>
      </c>
      <c r="D182" s="2">
        <v>0.32</v>
      </c>
      <c r="E182" s="3">
        <v>5.0000000000000004E-19</v>
      </c>
      <c r="F182">
        <v>35.119999999999997</v>
      </c>
      <c r="G182" t="str">
        <f>HYPERLINK("https://www.ncbi.nlm.nih.gov/nucleotide/XM_016359670.1?report=genbank&amp;log$=nucltop&amp;blast_rank=77&amp;RID=GYS3CJWW013","XM_016359670.1")</f>
        <v>XM_016359670.1</v>
      </c>
    </row>
    <row r="183" spans="1:7" x14ac:dyDescent="0.35">
      <c r="A183" t="s">
        <v>174</v>
      </c>
      <c r="B183">
        <v>104</v>
      </c>
      <c r="C183">
        <v>104</v>
      </c>
      <c r="D183" s="2">
        <v>0.3</v>
      </c>
      <c r="E183" s="3">
        <v>2.9999999999999999E-19</v>
      </c>
      <c r="F183">
        <v>35.06</v>
      </c>
      <c r="G183" t="str">
        <f>HYPERLINK("https://www.ncbi.nlm.nih.gov/nucleotide/XM_016779755.1?report=genbank&amp;log$=nucltop&amp;blast_rank=78&amp;RID=GYS3CJWW013","XM_016779755.1")</f>
        <v>XM_016779755.1</v>
      </c>
    </row>
    <row r="184" spans="1:7" x14ac:dyDescent="0.35">
      <c r="A184" t="s">
        <v>187</v>
      </c>
      <c r="B184">
        <v>116</v>
      </c>
      <c r="C184">
        <v>116</v>
      </c>
      <c r="D184" s="2">
        <v>0.25</v>
      </c>
      <c r="E184" s="3">
        <v>1.9999999999999999E-23</v>
      </c>
      <c r="F184">
        <v>35.03</v>
      </c>
      <c r="G184" t="str">
        <f>HYPERLINK("https://www.ncbi.nlm.nih.gov/nucleotide/XM_027754401.1?report=genbank&amp;log$=nucltop&amp;blast_rank=79&amp;RID=GYS3CJWW013","XM_027754401.1")</f>
        <v>XM_027754401.1</v>
      </c>
    </row>
    <row r="185" spans="1:7" x14ac:dyDescent="0.35">
      <c r="A185" t="s">
        <v>814</v>
      </c>
      <c r="B185">
        <v>119</v>
      </c>
      <c r="C185">
        <v>119</v>
      </c>
      <c r="D185" s="2">
        <v>0.26</v>
      </c>
      <c r="E185" s="3">
        <v>3E-24</v>
      </c>
      <c r="F185">
        <v>35</v>
      </c>
      <c r="G185" t="str">
        <f>HYPERLINK("https://www.ncbi.nlm.nih.gov/nucleotide/XM_041445219.1?report=genbank&amp;log$=nucltop&amp;blast_rank=80&amp;RID=GYS3CJWW013","XM_041445219.1")</f>
        <v>XM_041445219.1</v>
      </c>
    </row>
    <row r="186" spans="1:7" x14ac:dyDescent="0.35">
      <c r="A186" t="s">
        <v>182</v>
      </c>
      <c r="B186">
        <v>117</v>
      </c>
      <c r="C186">
        <v>117</v>
      </c>
      <c r="D186" s="2">
        <v>0.25</v>
      </c>
      <c r="E186" s="3">
        <v>9.9999999999999996E-24</v>
      </c>
      <c r="F186">
        <v>35</v>
      </c>
      <c r="G186" t="str">
        <f>HYPERLINK("https://www.ncbi.nlm.nih.gov/nucleotide/XM_029884767.1?report=genbank&amp;log$=nucltop&amp;blast_rank=81&amp;RID=GYS3CJWW013","XM_029884767.1")</f>
        <v>XM_029884767.1</v>
      </c>
    </row>
    <row r="187" spans="1:7" x14ac:dyDescent="0.35">
      <c r="A187" t="s">
        <v>815</v>
      </c>
      <c r="B187">
        <v>117</v>
      </c>
      <c r="C187">
        <v>117</v>
      </c>
      <c r="D187" s="2">
        <v>0.26</v>
      </c>
      <c r="E187" s="3">
        <v>9.9999999999999996E-24</v>
      </c>
      <c r="F187">
        <v>35</v>
      </c>
      <c r="G187" t="str">
        <f>HYPERLINK("https://www.ncbi.nlm.nih.gov/nucleotide/XM_041330571.1?report=genbank&amp;log$=nucltop&amp;blast_rank=82&amp;RID=GYS3CJWW013","XM_041330571.1")</f>
        <v>XM_041330571.1</v>
      </c>
    </row>
    <row r="188" spans="1:7" x14ac:dyDescent="0.35">
      <c r="A188" t="s">
        <v>816</v>
      </c>
      <c r="B188">
        <v>117</v>
      </c>
      <c r="C188">
        <v>117</v>
      </c>
      <c r="D188" s="2">
        <v>0.26</v>
      </c>
      <c r="E188" s="3">
        <v>9.9999999999999996E-24</v>
      </c>
      <c r="F188">
        <v>35</v>
      </c>
      <c r="G188" t="str">
        <f>HYPERLINK("https://www.ncbi.nlm.nih.gov/nucleotide/XM_041435262.1?report=genbank&amp;log$=nucltop&amp;blast_rank=83&amp;RID=GYS3CJWW013","XM_041435262.1")</f>
        <v>XM_041435262.1</v>
      </c>
    </row>
    <row r="189" spans="1:7" x14ac:dyDescent="0.35">
      <c r="A189" t="s">
        <v>817</v>
      </c>
      <c r="B189">
        <v>117</v>
      </c>
      <c r="C189">
        <v>117</v>
      </c>
      <c r="D189" s="2">
        <v>0.26</v>
      </c>
      <c r="E189" s="3">
        <v>9.9999999999999996E-24</v>
      </c>
      <c r="F189">
        <v>35</v>
      </c>
      <c r="G189" t="str">
        <f>HYPERLINK("https://www.ncbi.nlm.nih.gov/nucleotide/XM_041311187.1?report=genbank&amp;log$=nucltop&amp;blast_rank=84&amp;RID=GYS3CJWW013","XM_041311187.1")</f>
        <v>XM_041311187.1</v>
      </c>
    </row>
    <row r="190" spans="1:7" x14ac:dyDescent="0.35">
      <c r="A190" t="s">
        <v>818</v>
      </c>
      <c r="B190">
        <v>117</v>
      </c>
      <c r="C190">
        <v>117</v>
      </c>
      <c r="D190" s="2">
        <v>0.26</v>
      </c>
      <c r="E190" s="3">
        <v>1.9999999999999999E-23</v>
      </c>
      <c r="F190">
        <v>35</v>
      </c>
      <c r="G190" t="str">
        <f>HYPERLINK("https://www.ncbi.nlm.nih.gov/nucleotide/XM_041360181.1?report=genbank&amp;log$=nucltop&amp;blast_rank=85&amp;RID=GYS3CJWW013","XM_041360181.1")</f>
        <v>XM_041360181.1</v>
      </c>
    </row>
    <row r="191" spans="1:7" x14ac:dyDescent="0.35">
      <c r="A191" t="s">
        <v>819</v>
      </c>
      <c r="B191">
        <v>117</v>
      </c>
      <c r="C191">
        <v>117</v>
      </c>
      <c r="D191" s="2">
        <v>0.26</v>
      </c>
      <c r="E191" s="3">
        <v>1.9999999999999999E-23</v>
      </c>
      <c r="F191">
        <v>35</v>
      </c>
      <c r="G191" t="str">
        <f>HYPERLINK("https://www.ncbi.nlm.nih.gov/nucleotide/XM_041327212.1?report=genbank&amp;log$=nucltop&amp;blast_rank=86&amp;RID=GYS3CJWW013","XM_041327212.1")</f>
        <v>XM_041327212.1</v>
      </c>
    </row>
    <row r="192" spans="1:7" x14ac:dyDescent="0.35">
      <c r="A192" t="s">
        <v>184</v>
      </c>
      <c r="B192">
        <v>114</v>
      </c>
      <c r="C192">
        <v>114</v>
      </c>
      <c r="D192" s="2">
        <v>0.26</v>
      </c>
      <c r="E192" s="3">
        <v>2.0000000000000001E-22</v>
      </c>
      <c r="F192">
        <v>34.909999999999997</v>
      </c>
      <c r="G192" t="str">
        <f>HYPERLINK("https://www.ncbi.nlm.nih.gov/nucleotide/XM_025508829.1?report=genbank&amp;log$=nucltop&amp;blast_rank=87&amp;RID=GYS3CJWW013","XM_025508829.1")</f>
        <v>XM_025508829.1</v>
      </c>
    </row>
    <row r="193" spans="1:7" x14ac:dyDescent="0.35">
      <c r="A193" t="s">
        <v>185</v>
      </c>
      <c r="B193">
        <v>115</v>
      </c>
      <c r="C193">
        <v>115</v>
      </c>
      <c r="D193" s="2">
        <v>0.27</v>
      </c>
      <c r="E193" s="3">
        <v>5.0000000000000002E-23</v>
      </c>
      <c r="F193">
        <v>34.880000000000003</v>
      </c>
      <c r="G193" t="str">
        <f>HYPERLINK("https://www.ncbi.nlm.nih.gov/nucleotide/XM_007882346.1?report=genbank&amp;log$=nucltop&amp;blast_rank=88&amp;RID=GYS3CJWW013","XM_007882346.1")</f>
        <v>XM_007882346.1</v>
      </c>
    </row>
    <row r="194" spans="1:7" x14ac:dyDescent="0.35">
      <c r="A194" t="s">
        <v>21</v>
      </c>
      <c r="B194">
        <v>123</v>
      </c>
      <c r="C194">
        <v>123</v>
      </c>
      <c r="D194" s="2">
        <v>0.32</v>
      </c>
      <c r="E194" s="3">
        <v>1E-26</v>
      </c>
      <c r="F194">
        <v>34.85</v>
      </c>
      <c r="G194" t="str">
        <f>HYPERLINK("https://www.ncbi.nlm.nih.gov/nucleotide/XM_009545687.1?report=genbank&amp;log$=nucltop&amp;blast_rank=89&amp;RID=GYS3CJWW013","XM_009545687.1")</f>
        <v>XM_009545687.1</v>
      </c>
    </row>
    <row r="195" spans="1:7" x14ac:dyDescent="0.35">
      <c r="A195" t="s">
        <v>170</v>
      </c>
      <c r="B195">
        <v>119</v>
      </c>
      <c r="C195">
        <v>119</v>
      </c>
      <c r="D195" s="2">
        <v>0.28999999999999998</v>
      </c>
      <c r="E195" s="3">
        <v>3E-24</v>
      </c>
      <c r="F195">
        <v>34.619999999999997</v>
      </c>
      <c r="G195" t="str">
        <f>HYPERLINK("https://www.ncbi.nlm.nih.gov/nucleotide/XM_012333207.1?report=genbank&amp;log$=nucltop&amp;blast_rank=90&amp;RID=GYS3CJWW013","XM_012333207.1")</f>
        <v>XM_012333207.1</v>
      </c>
    </row>
    <row r="196" spans="1:7" x14ac:dyDescent="0.35">
      <c r="A196" t="s">
        <v>820</v>
      </c>
      <c r="B196">
        <v>112</v>
      </c>
      <c r="C196">
        <v>112</v>
      </c>
      <c r="D196" s="2">
        <v>0.24</v>
      </c>
      <c r="E196" s="3">
        <v>4.0000000000000002E-22</v>
      </c>
      <c r="F196">
        <v>34.42</v>
      </c>
      <c r="G196" t="str">
        <f>HYPERLINK("https://www.ncbi.nlm.nih.gov/nucleotide/XM_002911188.1?report=genbank&amp;log$=nucltop&amp;blast_rank=91&amp;RID=GYS3CJWW013","XM_002911188.1")</f>
        <v>XM_002911188.1</v>
      </c>
    </row>
    <row r="197" spans="1:7" x14ac:dyDescent="0.35">
      <c r="A197" t="s">
        <v>190</v>
      </c>
      <c r="B197">
        <v>119</v>
      </c>
      <c r="C197">
        <v>119</v>
      </c>
      <c r="D197" s="2">
        <v>0.3</v>
      </c>
      <c r="E197" s="3">
        <v>3.9999999999999997E-24</v>
      </c>
      <c r="F197">
        <v>33.869999999999997</v>
      </c>
      <c r="G197" t="str">
        <f>HYPERLINK("https://www.ncbi.nlm.nih.gov/nucleotide/HG529702.1?report=genbank&amp;log$=nucltop&amp;blast_rank=92&amp;RID=GYS3CJWW013","HG529702.1")</f>
        <v>HG529702.1</v>
      </c>
    </row>
    <row r="198" spans="1:7" x14ac:dyDescent="0.35">
      <c r="A198" t="s">
        <v>821</v>
      </c>
      <c r="B198">
        <v>114</v>
      </c>
      <c r="C198">
        <v>114</v>
      </c>
      <c r="D198" s="2">
        <v>0.25</v>
      </c>
      <c r="E198" s="3">
        <v>1E-22</v>
      </c>
      <c r="F198">
        <v>33.75</v>
      </c>
      <c r="G198" t="str">
        <f>HYPERLINK("https://www.ncbi.nlm.nih.gov/nucleotide/XM_040911832.1?report=genbank&amp;log$=nucltop&amp;blast_rank=93&amp;RID=GYS3CJWW013","XM_040911832.1")</f>
        <v>XM_040911832.1</v>
      </c>
    </row>
    <row r="199" spans="1:7" x14ac:dyDescent="0.35">
      <c r="A199" t="s">
        <v>192</v>
      </c>
      <c r="B199">
        <v>120</v>
      </c>
      <c r="C199">
        <v>120</v>
      </c>
      <c r="D199" s="2">
        <v>0.3</v>
      </c>
      <c r="E199" s="3">
        <v>3.9999999999999997E-24</v>
      </c>
      <c r="F199">
        <v>33.520000000000003</v>
      </c>
      <c r="G199" t="str">
        <f>HYPERLINK("https://www.ncbi.nlm.nih.gov/nucleotide/LT558139.1?report=genbank&amp;log$=nucltop&amp;blast_rank=94&amp;RID=GYS3CJWW013","LT558139.1")</f>
        <v>LT558139.1</v>
      </c>
    </row>
    <row r="200" spans="1:7" x14ac:dyDescent="0.35">
      <c r="A200" t="s">
        <v>822</v>
      </c>
      <c r="B200">
        <v>122</v>
      </c>
      <c r="C200">
        <v>122</v>
      </c>
      <c r="D200" s="2">
        <v>0.38</v>
      </c>
      <c r="E200" s="3">
        <v>2.9999999999999998E-25</v>
      </c>
      <c r="F200">
        <v>33.479999999999997</v>
      </c>
      <c r="G200" t="str">
        <f>HYPERLINK("https://www.ncbi.nlm.nih.gov/nucleotide/XM_007302807.1?report=genbank&amp;log$=nucltop&amp;blast_rank=95&amp;RID=GYS3CJWW013","XM_007302807.1")</f>
        <v>XM_007302807.1</v>
      </c>
    </row>
    <row r="201" spans="1:7" x14ac:dyDescent="0.35">
      <c r="A201" t="s">
        <v>193</v>
      </c>
      <c r="B201">
        <v>99</v>
      </c>
      <c r="C201">
        <v>99</v>
      </c>
      <c r="D201" s="2">
        <v>0.25</v>
      </c>
      <c r="E201" s="3">
        <v>4.9999999999999999E-20</v>
      </c>
      <c r="F201">
        <v>33.33</v>
      </c>
      <c r="G201" t="str">
        <f>HYPERLINK("https://www.ncbi.nlm.nih.gov/nucleotide/XM_025490272.1?report=genbank&amp;log$=nucltop&amp;blast_rank=96&amp;RID=GYS3CJWW013","XM_025490272.1")</f>
        <v>XM_025490272.1</v>
      </c>
    </row>
    <row r="202" spans="1:7" x14ac:dyDescent="0.35">
      <c r="A202" t="s">
        <v>124</v>
      </c>
      <c r="B202">
        <v>127</v>
      </c>
      <c r="C202">
        <v>127</v>
      </c>
      <c r="D202" s="2">
        <v>0.49</v>
      </c>
      <c r="E202" s="3">
        <v>6.0000000000000002E-27</v>
      </c>
      <c r="F202">
        <v>33.21</v>
      </c>
      <c r="G202" t="str">
        <f>HYPERLINK("https://www.ncbi.nlm.nih.gov/nucleotide/XM_013384521.1?report=genbank&amp;log$=nucltop&amp;blast_rank=97&amp;RID=GYS3CJWW013","XM_013384521.1")</f>
        <v>XM_013384521.1</v>
      </c>
    </row>
    <row r="203" spans="1:7" x14ac:dyDescent="0.35">
      <c r="A203" t="s">
        <v>823</v>
      </c>
      <c r="B203">
        <v>107</v>
      </c>
      <c r="C203">
        <v>107</v>
      </c>
      <c r="D203" s="2">
        <v>0.25</v>
      </c>
      <c r="E203" s="3">
        <v>1.9999999999999999E-20</v>
      </c>
      <c r="F203">
        <v>32.58</v>
      </c>
      <c r="G203" t="str">
        <f>HYPERLINK("https://www.ncbi.nlm.nih.gov/nucleotide/XM_007268243.1?report=genbank&amp;log$=nucltop&amp;blast_rank=98&amp;RID=GYS3CJWW013","XM_007268243.1")</f>
        <v>XM_007268243.1</v>
      </c>
    </row>
    <row r="204" spans="1:7" x14ac:dyDescent="0.35">
      <c r="A204" t="s">
        <v>194</v>
      </c>
      <c r="B204">
        <v>111</v>
      </c>
      <c r="C204">
        <v>111</v>
      </c>
      <c r="D204" s="2">
        <v>0.38</v>
      </c>
      <c r="E204" s="3">
        <v>4.9999999999999995E-22</v>
      </c>
      <c r="F204">
        <v>31.88</v>
      </c>
      <c r="G204" t="str">
        <f>HYPERLINK("https://www.ncbi.nlm.nih.gov/nucleotide/XM_007392158.1?report=genbank&amp;log$=nucltop&amp;blast_rank=99&amp;RID=GYS3CJWW013","XM_007392158.1")</f>
        <v>XM_007392158.1</v>
      </c>
    </row>
    <row r="205" spans="1:7" x14ac:dyDescent="0.35">
      <c r="A205" t="s">
        <v>189</v>
      </c>
      <c r="B205">
        <v>125</v>
      </c>
      <c r="C205">
        <v>125</v>
      </c>
      <c r="D205" s="2">
        <v>0.46</v>
      </c>
      <c r="E205" s="3">
        <v>2.0000000000000001E-26</v>
      </c>
      <c r="F205">
        <v>30.25</v>
      </c>
      <c r="G205" t="str">
        <f>HYPERLINK("https://www.ncbi.nlm.nih.gov/nucleotide/XM_007407308.1?report=genbank&amp;log$=nucltop&amp;blast_rank=100&amp;RID=GYS3CJWW013","XM_007407308.1")</f>
        <v>XM_007407308.1</v>
      </c>
    </row>
    <row r="206" spans="1:7" x14ac:dyDescent="0.35">
      <c r="A206" s="1" t="s">
        <v>921</v>
      </c>
    </row>
    <row r="207" spans="1:7" x14ac:dyDescent="0.35">
      <c r="A207" s="1" t="s">
        <v>2</v>
      </c>
      <c r="B207" s="1" t="s">
        <v>3</v>
      </c>
      <c r="C207" s="1" t="s">
        <v>4</v>
      </c>
      <c r="D207" s="1" t="s">
        <v>5</v>
      </c>
      <c r="E207" s="1" t="s">
        <v>6</v>
      </c>
      <c r="F207" s="1" t="s">
        <v>7</v>
      </c>
      <c r="G207" s="1" t="s">
        <v>8</v>
      </c>
    </row>
    <row r="208" spans="1:7" x14ac:dyDescent="0.35">
      <c r="A208" t="s">
        <v>21</v>
      </c>
      <c r="B208">
        <v>231</v>
      </c>
      <c r="C208">
        <v>231</v>
      </c>
      <c r="D208" s="2">
        <v>0.76</v>
      </c>
      <c r="E208" s="3">
        <v>9.9999999999999997E-73</v>
      </c>
      <c r="F208">
        <v>57.65</v>
      </c>
      <c r="G208" t="str">
        <f>HYPERLINK("https://www.ncbi.nlm.nih.gov/nucleotide/XM_009546989.1?report=genbank&amp;log$=nucltop&amp;blast_rank=1&amp;RID=GYV8V2Y2013","XM_009546989.1")</f>
        <v>XM_009546989.1</v>
      </c>
    </row>
    <row r="209" spans="1:7" x14ac:dyDescent="0.35">
      <c r="A209" t="s">
        <v>9</v>
      </c>
      <c r="B209">
        <v>144</v>
      </c>
      <c r="C209">
        <v>330</v>
      </c>
      <c r="D209" s="2">
        <v>0.9</v>
      </c>
      <c r="E209" s="3">
        <v>7.0000000000000003E-74</v>
      </c>
      <c r="F209">
        <v>57.04</v>
      </c>
      <c r="G209" t="str">
        <f>HYPERLINK("https://www.ncbi.nlm.nih.gov/nucleotide/LR732079.1?report=genbank&amp;log$=nucltop&amp;blast_rank=2&amp;RID=GYV8V2Y2013","LR732079.1")</f>
        <v>LR732079.1</v>
      </c>
    </row>
    <row r="210" spans="1:7" x14ac:dyDescent="0.35">
      <c r="A210" t="s">
        <v>199</v>
      </c>
      <c r="B210">
        <v>266</v>
      </c>
      <c r="C210">
        <v>266</v>
      </c>
      <c r="D210" s="2">
        <v>0.9</v>
      </c>
      <c r="E210" s="3">
        <v>5.0000000000000002E-84</v>
      </c>
      <c r="F210">
        <v>55.6</v>
      </c>
      <c r="G210" t="str">
        <f>HYPERLINK("https://www.ncbi.nlm.nih.gov/nucleotide/XM_007393489.1?report=genbank&amp;log$=nucltop&amp;blast_rank=3&amp;RID=GYV8V2Y2013","XM_007393489.1")</f>
        <v>XM_007393489.1</v>
      </c>
    </row>
    <row r="211" spans="1:7" x14ac:dyDescent="0.35">
      <c r="A211" t="s">
        <v>201</v>
      </c>
      <c r="B211">
        <v>263</v>
      </c>
      <c r="C211">
        <v>263</v>
      </c>
      <c r="D211" s="2">
        <v>0.9</v>
      </c>
      <c r="E211" s="3">
        <v>6.9999999999999997E-82</v>
      </c>
      <c r="F211">
        <v>55.6</v>
      </c>
      <c r="G211" t="str">
        <f>HYPERLINK("https://www.ncbi.nlm.nih.gov/nucleotide/XM_027763129.1?report=genbank&amp;log$=nucltop&amp;blast_rank=4&amp;RID=GYV8V2Y2013","XM_027763129.1")</f>
        <v>XM_027763129.1</v>
      </c>
    </row>
    <row r="212" spans="1:7" x14ac:dyDescent="0.35">
      <c r="A212" t="s">
        <v>198</v>
      </c>
      <c r="B212">
        <v>272</v>
      </c>
      <c r="C212">
        <v>272</v>
      </c>
      <c r="D212" s="2">
        <v>0.95</v>
      </c>
      <c r="E212" s="3">
        <v>2.0000000000000002E-86</v>
      </c>
      <c r="F212">
        <v>55.28</v>
      </c>
      <c r="G212" t="str">
        <f>HYPERLINK("https://www.ncbi.nlm.nih.gov/nucleotide/XM_007870715.1?report=genbank&amp;log$=nucltop&amp;blast_rank=5&amp;RID=GYV8V2Y2013","XM_007870715.1")</f>
        <v>XM_007870715.1</v>
      </c>
    </row>
    <row r="213" spans="1:7" x14ac:dyDescent="0.35">
      <c r="A213" t="s">
        <v>204</v>
      </c>
      <c r="B213">
        <v>255</v>
      </c>
      <c r="C213">
        <v>255</v>
      </c>
      <c r="D213" s="2">
        <v>0.9</v>
      </c>
      <c r="E213" s="3">
        <v>2E-79</v>
      </c>
      <c r="F213">
        <v>55.17</v>
      </c>
      <c r="G213" t="str">
        <f>HYPERLINK("https://www.ncbi.nlm.nih.gov/nucleotide/XM_008041438.1?report=genbank&amp;log$=nucltop&amp;blast_rank=6&amp;RID=GYV8V2Y2013","XM_008041438.1")</f>
        <v>XM_008041438.1</v>
      </c>
    </row>
    <row r="214" spans="1:7" x14ac:dyDescent="0.35">
      <c r="A214" t="s">
        <v>202</v>
      </c>
      <c r="B214">
        <v>263</v>
      </c>
      <c r="C214">
        <v>263</v>
      </c>
      <c r="D214" s="2">
        <v>0.91</v>
      </c>
      <c r="E214" s="3">
        <v>2.0000000000000001E-84</v>
      </c>
      <c r="F214">
        <v>54.85</v>
      </c>
      <c r="G214" t="str">
        <f>HYPERLINK("https://www.ncbi.nlm.nih.gov/nucleotide/XM_007389005.1?report=genbank&amp;log$=nucltop&amp;blast_rank=7&amp;RID=GYV8V2Y2013","XM_007389005.1")</f>
        <v>XM_007389005.1</v>
      </c>
    </row>
    <row r="215" spans="1:7" x14ac:dyDescent="0.35">
      <c r="A215" t="s">
        <v>18</v>
      </c>
      <c r="B215">
        <v>161</v>
      </c>
      <c r="C215">
        <v>161</v>
      </c>
      <c r="D215" s="2">
        <v>0.53</v>
      </c>
      <c r="E215" s="3">
        <v>8E-41</v>
      </c>
      <c r="F215">
        <v>54.49</v>
      </c>
      <c r="G215" t="str">
        <f>HYPERLINK("https://www.ncbi.nlm.nih.gov/nucleotide/CP015474.1?report=genbank&amp;log$=nucltop&amp;blast_rank=8&amp;RID=GYV8V2Y2013","CP015474.1")</f>
        <v>CP015474.1</v>
      </c>
    </row>
    <row r="216" spans="1:7" x14ac:dyDescent="0.35">
      <c r="A216" t="s">
        <v>17</v>
      </c>
      <c r="B216">
        <v>161</v>
      </c>
      <c r="C216">
        <v>161</v>
      </c>
      <c r="D216" s="2">
        <v>0.53</v>
      </c>
      <c r="E216" s="3">
        <v>8E-41</v>
      </c>
      <c r="F216">
        <v>54.49</v>
      </c>
      <c r="G216" t="str">
        <f>HYPERLINK("https://www.ncbi.nlm.nih.gov/nucleotide/CP015461.1?report=genbank&amp;log$=nucltop&amp;blast_rank=9&amp;RID=GYV8V2Y2013","CP015461.1")</f>
        <v>CP015461.1</v>
      </c>
    </row>
    <row r="217" spans="1:7" x14ac:dyDescent="0.35">
      <c r="A217" t="s">
        <v>16</v>
      </c>
      <c r="B217">
        <v>161</v>
      </c>
      <c r="C217">
        <v>161</v>
      </c>
      <c r="D217" s="2">
        <v>0.53</v>
      </c>
      <c r="E217" s="3">
        <v>8E-41</v>
      </c>
      <c r="F217">
        <v>54.49</v>
      </c>
      <c r="G217" t="str">
        <f>HYPERLINK("https://www.ncbi.nlm.nih.gov/nucleotide/CP039877.1?report=genbank&amp;log$=nucltop&amp;blast_rank=10&amp;RID=GYV8V2Y2013","CP039877.1")</f>
        <v>CP039877.1</v>
      </c>
    </row>
    <row r="218" spans="1:7" x14ac:dyDescent="0.35">
      <c r="A218" t="s">
        <v>473</v>
      </c>
      <c r="B218">
        <v>149</v>
      </c>
      <c r="C218">
        <v>149</v>
      </c>
      <c r="D218" s="2">
        <v>0.56999999999999995</v>
      </c>
      <c r="E218" s="3">
        <v>8.0000000000000005E-37</v>
      </c>
      <c r="F218">
        <v>54.27</v>
      </c>
      <c r="G218" t="str">
        <f>HYPERLINK("https://www.ncbi.nlm.nih.gov/nucleotide/CP068007.1?report=genbank&amp;log$=nucltop&amp;blast_rank=11&amp;RID=GYV8V2Y2013","CP068007.1")</f>
        <v>CP068007.1</v>
      </c>
    </row>
    <row r="219" spans="1:7" x14ac:dyDescent="0.35">
      <c r="A219" t="s">
        <v>200</v>
      </c>
      <c r="B219">
        <v>268</v>
      </c>
      <c r="C219">
        <v>268</v>
      </c>
      <c r="D219" s="2">
        <v>0.92</v>
      </c>
      <c r="E219" s="3">
        <v>9.9999999999999996E-83</v>
      </c>
      <c r="F219">
        <v>53.97</v>
      </c>
      <c r="G219" t="str">
        <f>HYPERLINK("https://www.ncbi.nlm.nih.gov/nucleotide/XM_003029540.1?report=genbank&amp;log$=nucltop&amp;blast_rank=12&amp;RID=GYV8V2Y2013","XM_003029540.1")</f>
        <v>XM_003029540.1</v>
      </c>
    </row>
    <row r="220" spans="1:7" x14ac:dyDescent="0.35">
      <c r="A220" t="s">
        <v>203</v>
      </c>
      <c r="B220">
        <v>243</v>
      </c>
      <c r="C220">
        <v>243</v>
      </c>
      <c r="D220" s="2">
        <v>0.9</v>
      </c>
      <c r="E220" s="3">
        <v>4.9999999999999998E-76</v>
      </c>
      <c r="F220">
        <v>53.42</v>
      </c>
      <c r="G220" t="str">
        <f>HYPERLINK("https://www.ncbi.nlm.nih.gov/nucleotide/XM_007263367.1?report=genbank&amp;log$=nucltop&amp;blast_rank=13&amp;RID=GYV8V2Y2013","XM_007263367.1")</f>
        <v>XM_007263367.1</v>
      </c>
    </row>
    <row r="221" spans="1:7" x14ac:dyDescent="0.35">
      <c r="A221" t="s">
        <v>206</v>
      </c>
      <c r="B221">
        <v>258</v>
      </c>
      <c r="C221">
        <v>258</v>
      </c>
      <c r="D221" s="2">
        <v>0.89</v>
      </c>
      <c r="E221" s="3">
        <v>9.9999999999999996E-81</v>
      </c>
      <c r="F221">
        <v>53.28</v>
      </c>
      <c r="G221" t="str">
        <f>HYPERLINK("https://www.ncbi.nlm.nih.gov/nucleotide/XM_024477854.1?report=genbank&amp;log$=nucltop&amp;blast_rank=14&amp;RID=GYV8V2Y2013","XM_024477854.1")</f>
        <v>XM_024477854.1</v>
      </c>
    </row>
    <row r="222" spans="1:7" x14ac:dyDescent="0.35">
      <c r="A222" t="s">
        <v>208</v>
      </c>
      <c r="B222">
        <v>245</v>
      </c>
      <c r="C222">
        <v>245</v>
      </c>
      <c r="D222" s="2">
        <v>0.9</v>
      </c>
      <c r="E222" s="3">
        <v>9.9999999999999993E-78</v>
      </c>
      <c r="F222">
        <v>53.19</v>
      </c>
      <c r="G222" t="str">
        <f>HYPERLINK("https://www.ncbi.nlm.nih.gov/nucleotide/XM_037359090.1?report=genbank&amp;log$=nucltop&amp;blast_rank=15&amp;RID=GYV8V2Y2013","XM_037359090.1")</f>
        <v>XM_037359090.1</v>
      </c>
    </row>
    <row r="223" spans="1:7" x14ac:dyDescent="0.35">
      <c r="A223" t="s">
        <v>120</v>
      </c>
      <c r="B223">
        <v>259</v>
      </c>
      <c r="C223">
        <v>259</v>
      </c>
      <c r="D223" s="2">
        <v>0.9</v>
      </c>
      <c r="E223" s="3">
        <v>4.9999999999999998E-83</v>
      </c>
      <c r="F223">
        <v>53.02</v>
      </c>
      <c r="G223" t="str">
        <f>HYPERLINK("https://www.ncbi.nlm.nih.gov/nucleotide/XM_012328136.1?report=genbank&amp;log$=nucltop&amp;blast_rank=16&amp;RID=GYV8V2Y2013","XM_012328136.1")</f>
        <v>XM_012328136.1</v>
      </c>
    </row>
    <row r="224" spans="1:7" x14ac:dyDescent="0.35">
      <c r="A224" t="s">
        <v>207</v>
      </c>
      <c r="B224">
        <v>243</v>
      </c>
      <c r="C224">
        <v>243</v>
      </c>
      <c r="D224" s="2">
        <v>0.88</v>
      </c>
      <c r="E224" s="3">
        <v>1.9999999999999999E-76</v>
      </c>
      <c r="F224">
        <v>51.77</v>
      </c>
      <c r="G224" t="str">
        <f>HYPERLINK("https://www.ncbi.nlm.nih.gov/nucleotide/XM_006459159.1?report=genbank&amp;log$=nucltop&amp;blast_rank=17&amp;RID=GYV8V2Y2013","XM_006459159.1")</f>
        <v>XM_006459159.1</v>
      </c>
    </row>
    <row r="225" spans="1:7" x14ac:dyDescent="0.35">
      <c r="A225" t="s">
        <v>824</v>
      </c>
      <c r="B225">
        <v>206</v>
      </c>
      <c r="C225">
        <v>206</v>
      </c>
      <c r="D225" s="2">
        <v>0.89</v>
      </c>
      <c r="E225" s="3">
        <v>1.9999999999999999E-60</v>
      </c>
      <c r="F225">
        <v>50.22</v>
      </c>
      <c r="G225" t="str">
        <f>HYPERLINK("https://www.ncbi.nlm.nih.gov/nucleotide/XM_040911703.1?report=genbank&amp;log$=nucltop&amp;blast_rank=18&amp;RID=GYV8V2Y2013","XM_040911703.1")</f>
        <v>XM_040911703.1</v>
      </c>
    </row>
    <row r="226" spans="1:7" x14ac:dyDescent="0.35">
      <c r="A226" t="s">
        <v>205</v>
      </c>
      <c r="B226">
        <v>258</v>
      </c>
      <c r="C226">
        <v>258</v>
      </c>
      <c r="D226" s="2">
        <v>0.98</v>
      </c>
      <c r="E226" s="3">
        <v>9.9999999999999996E-81</v>
      </c>
      <c r="F226">
        <v>50.2</v>
      </c>
      <c r="G226" t="str">
        <f>HYPERLINK("https://www.ncbi.nlm.nih.gov/nucleotide/XM_007318641.1?report=genbank&amp;log$=nucltop&amp;blast_rank=19&amp;RID=GYV8V2Y2013","XM_007318641.1")</f>
        <v>XM_007318641.1</v>
      </c>
    </row>
    <row r="227" spans="1:7" x14ac:dyDescent="0.35">
      <c r="A227" t="s">
        <v>217</v>
      </c>
      <c r="B227">
        <v>245</v>
      </c>
      <c r="C227">
        <v>245</v>
      </c>
      <c r="D227" s="2">
        <v>0.9</v>
      </c>
      <c r="E227" s="3">
        <v>4.9999999999999996E-77</v>
      </c>
      <c r="F227">
        <v>49.57</v>
      </c>
      <c r="G227" t="str">
        <f>HYPERLINK("https://www.ncbi.nlm.nih.gov/nucleotide/XM_007362271.1?report=genbank&amp;log$=nucltop&amp;blast_rank=20&amp;RID=GYV8V2Y2013","XM_007362271.1")</f>
        <v>XM_007362271.1</v>
      </c>
    </row>
    <row r="228" spans="1:7" x14ac:dyDescent="0.35">
      <c r="A228" t="s">
        <v>210</v>
      </c>
      <c r="B228">
        <v>133</v>
      </c>
      <c r="C228">
        <v>133</v>
      </c>
      <c r="D228" s="2">
        <v>0.56999999999999995</v>
      </c>
      <c r="E228" s="3">
        <v>2.0000000000000001E-33</v>
      </c>
      <c r="F228">
        <v>49.33</v>
      </c>
      <c r="G228" t="str">
        <f>HYPERLINK("https://www.ncbi.nlm.nih.gov/nucleotide/XM_031139192.1?report=genbank&amp;log$=nucltop&amp;blast_rank=21&amp;RID=GYV8V2Y2013","XM_031139192.1")</f>
        <v>XM_031139192.1</v>
      </c>
    </row>
    <row r="229" spans="1:7" x14ac:dyDescent="0.35">
      <c r="A229" t="s">
        <v>215</v>
      </c>
      <c r="B229">
        <v>230</v>
      </c>
      <c r="C229">
        <v>230</v>
      </c>
      <c r="D229" s="2">
        <v>0.93</v>
      </c>
      <c r="E229" s="3">
        <v>9.0000000000000004E-72</v>
      </c>
      <c r="F229">
        <v>46.89</v>
      </c>
      <c r="G229" t="str">
        <f>HYPERLINK("https://www.ncbi.nlm.nih.gov/nucleotide/XM_007299197.1?report=genbank&amp;log$=nucltop&amp;blast_rank=22&amp;RID=GYV8V2Y2013","XM_007299197.1")</f>
        <v>XM_007299197.1</v>
      </c>
    </row>
    <row r="230" spans="1:7" x14ac:dyDescent="0.35">
      <c r="A230" t="s">
        <v>107</v>
      </c>
      <c r="B230">
        <v>175</v>
      </c>
      <c r="C230">
        <v>175</v>
      </c>
      <c r="D230" s="2">
        <v>0.69</v>
      </c>
      <c r="E230" s="3">
        <v>9.9999999999999998E-46</v>
      </c>
      <c r="F230">
        <v>46.51</v>
      </c>
      <c r="G230" t="str">
        <f>HYPERLINK("https://www.ncbi.nlm.nih.gov/nucleotide/CP019380.1?report=genbank&amp;log$=nucltop&amp;blast_rank=23&amp;RID=GYV8V2Y2013","CP019380.1")</f>
        <v>CP019380.1</v>
      </c>
    </row>
    <row r="231" spans="1:7" x14ac:dyDescent="0.35">
      <c r="A231" t="s">
        <v>177</v>
      </c>
      <c r="B231">
        <v>249</v>
      </c>
      <c r="C231">
        <v>249</v>
      </c>
      <c r="D231" s="2">
        <v>0.99</v>
      </c>
      <c r="E231" s="3">
        <v>8E-78</v>
      </c>
      <c r="F231">
        <v>45.42</v>
      </c>
      <c r="G231" t="str">
        <f>HYPERLINK("https://www.ncbi.nlm.nih.gov/nucleotide/XM_007767661.1?report=genbank&amp;log$=nucltop&amp;blast_rank=24&amp;RID=GYV8V2Y2013","XM_007767661.1")</f>
        <v>XM_007767661.1</v>
      </c>
    </row>
    <row r="232" spans="1:7" x14ac:dyDescent="0.35">
      <c r="A232" t="s">
        <v>825</v>
      </c>
      <c r="B232">
        <v>173</v>
      </c>
      <c r="C232">
        <v>173</v>
      </c>
      <c r="D232" s="2">
        <v>0.79</v>
      </c>
      <c r="E232" s="3">
        <v>1.9999999999999999E-49</v>
      </c>
      <c r="F232">
        <v>44.93</v>
      </c>
      <c r="G232" t="str">
        <f>HYPERLINK("https://www.ncbi.nlm.nih.gov/nucleotide/XM_011122679.1?report=genbank&amp;log$=nucltop&amp;blast_rank=25&amp;RID=GYV8V2Y2013","XM_011122679.1")</f>
        <v>XM_011122679.1</v>
      </c>
    </row>
    <row r="233" spans="1:7" x14ac:dyDescent="0.35">
      <c r="A233" t="s">
        <v>233</v>
      </c>
      <c r="B233">
        <v>155</v>
      </c>
      <c r="C233">
        <v>155</v>
      </c>
      <c r="D233" s="2">
        <v>0.8</v>
      </c>
      <c r="E233" s="3">
        <v>8.0000000000000003E-42</v>
      </c>
      <c r="F233">
        <v>44.5</v>
      </c>
      <c r="G233" t="str">
        <f>HYPERLINK("https://www.ncbi.nlm.nih.gov/nucleotide/XM_002842253.1?report=genbank&amp;log$=nucltop&amp;blast_rank=26&amp;RID=GYV8V2Y2013","XM_002842253.1")</f>
        <v>XM_002842253.1</v>
      </c>
    </row>
    <row r="234" spans="1:7" x14ac:dyDescent="0.35">
      <c r="A234" s="4" t="s">
        <v>235</v>
      </c>
      <c r="B234" s="4">
        <v>151</v>
      </c>
      <c r="C234" s="4">
        <v>151</v>
      </c>
      <c r="D234" s="5">
        <v>0.76</v>
      </c>
      <c r="E234" s="6">
        <v>7.9999999999999997E-38</v>
      </c>
      <c r="F234" s="4">
        <v>44.22</v>
      </c>
      <c r="G234" s="4" t="str">
        <f>HYPERLINK("https://www.ncbi.nlm.nih.gov/nucleotide/XM_955647.2?report=genbank&amp;log$=nucltop&amp;blast_rank=27&amp;RID=GYV8V2Y2013","XM_955647.2")</f>
        <v>XM_955647.2</v>
      </c>
    </row>
    <row r="235" spans="1:7" x14ac:dyDescent="0.35">
      <c r="A235" t="s">
        <v>234</v>
      </c>
      <c r="B235">
        <v>140</v>
      </c>
      <c r="C235">
        <v>140</v>
      </c>
      <c r="D235" s="2">
        <v>0.76</v>
      </c>
      <c r="E235" s="3">
        <v>3E-34</v>
      </c>
      <c r="F235">
        <v>44</v>
      </c>
      <c r="G235" t="str">
        <f>HYPERLINK("https://www.ncbi.nlm.nih.gov/nucleotide/XM_003662060.1?report=genbank&amp;log$=nucltop&amp;blast_rank=28&amp;RID=GYV8V2Y2013","XM_003662060.1")</f>
        <v>XM_003662060.1</v>
      </c>
    </row>
    <row r="236" spans="1:7" x14ac:dyDescent="0.35">
      <c r="A236" t="s">
        <v>239</v>
      </c>
      <c r="B236">
        <v>150</v>
      </c>
      <c r="C236">
        <v>150</v>
      </c>
      <c r="D236" s="2">
        <v>0.75</v>
      </c>
      <c r="E236" s="3">
        <v>4.0000000000000003E-37</v>
      </c>
      <c r="F236">
        <v>43.88</v>
      </c>
      <c r="G236" t="str">
        <f>HYPERLINK("https://www.ncbi.nlm.nih.gov/nucleotide/AL451013.1?report=genbank&amp;log$=nucltop&amp;blast_rank=29&amp;RID=GYV8V2Y2013","AL451013.1")</f>
        <v>AL451013.1</v>
      </c>
    </row>
    <row r="237" spans="1:7" x14ac:dyDescent="0.35">
      <c r="A237" t="s">
        <v>232</v>
      </c>
      <c r="B237">
        <v>152</v>
      </c>
      <c r="C237">
        <v>152</v>
      </c>
      <c r="D237" s="2">
        <v>0.76</v>
      </c>
      <c r="E237" s="3">
        <v>3.0000000000000002E-40</v>
      </c>
      <c r="F237">
        <v>43.72</v>
      </c>
      <c r="G237" t="str">
        <f>HYPERLINK("https://www.ncbi.nlm.nih.gov/nucleotide/XM_003352052.1?report=genbank&amp;log$=nucltop&amp;blast_rank=30&amp;RID=GYV8V2Y2013","XM_003352052.1")</f>
        <v>XM_003352052.1</v>
      </c>
    </row>
    <row r="238" spans="1:7" x14ac:dyDescent="0.35">
      <c r="A238" s="4" t="s">
        <v>826</v>
      </c>
      <c r="B238" s="4">
        <v>199</v>
      </c>
      <c r="C238" s="4">
        <v>199</v>
      </c>
      <c r="D238" s="5">
        <v>0.89</v>
      </c>
      <c r="E238" s="6">
        <v>3.0000000000000001E-59</v>
      </c>
      <c r="F238" s="4">
        <v>43.61</v>
      </c>
      <c r="G238" s="4" t="str">
        <f>HYPERLINK("https://www.ncbi.nlm.nih.gov/nucleotide/XM_041355744.1?report=genbank&amp;log$=nucltop&amp;blast_rank=31&amp;RID=GYV8V2Y2013","XM_041355744.1")</f>
        <v>XM_041355744.1</v>
      </c>
    </row>
    <row r="239" spans="1:7" x14ac:dyDescent="0.35">
      <c r="A239" t="s">
        <v>827</v>
      </c>
      <c r="B239">
        <v>160</v>
      </c>
      <c r="C239">
        <v>160</v>
      </c>
      <c r="D239" s="2">
        <v>0.77</v>
      </c>
      <c r="E239" s="3">
        <v>4.0000000000000003E-43</v>
      </c>
      <c r="F239">
        <v>43.5</v>
      </c>
      <c r="G239" t="str">
        <f>HYPERLINK("https://www.ncbi.nlm.nih.gov/nucleotide/XM_040930224.1?report=genbank&amp;log$=nucltop&amp;blast_rank=32&amp;RID=GYV8V2Y2013","XM_040930224.1")</f>
        <v>XM_040930224.1</v>
      </c>
    </row>
    <row r="240" spans="1:7" x14ac:dyDescent="0.35">
      <c r="A240" t="s">
        <v>245</v>
      </c>
      <c r="B240">
        <v>203</v>
      </c>
      <c r="C240">
        <v>203</v>
      </c>
      <c r="D240" s="2">
        <v>0.9</v>
      </c>
      <c r="E240" s="3">
        <v>3.0000000000000001E-61</v>
      </c>
      <c r="F240">
        <v>43.35</v>
      </c>
      <c r="G240" t="str">
        <f>HYPERLINK("https://www.ncbi.nlm.nih.gov/nucleotide/XM_001836371.2?report=genbank&amp;log$=nucltop&amp;blast_rank=33&amp;RID=GYV8V2Y2013","XM_001836371.2")</f>
        <v>XM_001836371.2</v>
      </c>
    </row>
    <row r="241" spans="1:7" x14ac:dyDescent="0.35">
      <c r="A241" t="s">
        <v>246</v>
      </c>
      <c r="B241">
        <v>147</v>
      </c>
      <c r="C241">
        <v>147</v>
      </c>
      <c r="D241" s="2">
        <v>0.76</v>
      </c>
      <c r="E241" s="3">
        <v>1.9999999999999999E-38</v>
      </c>
      <c r="F241">
        <v>43.22</v>
      </c>
      <c r="G241" t="str">
        <f>HYPERLINK("https://www.ncbi.nlm.nih.gov/nucleotide/XM_009850061.1?report=genbank&amp;log$=nucltop&amp;blast_rank=34&amp;RID=GYV8V2Y2013","XM_009850061.1")</f>
        <v>XM_009850061.1</v>
      </c>
    </row>
    <row r="242" spans="1:7" x14ac:dyDescent="0.35">
      <c r="A242" t="s">
        <v>244</v>
      </c>
      <c r="B242">
        <v>145</v>
      </c>
      <c r="C242">
        <v>145</v>
      </c>
      <c r="D242" s="2">
        <v>0.76</v>
      </c>
      <c r="E242" s="3">
        <v>7.9999999999999997E-38</v>
      </c>
      <c r="F242">
        <v>42.93</v>
      </c>
      <c r="G242" t="str">
        <f>HYPERLINK("https://www.ncbi.nlm.nih.gov/nucleotide/XM_008081488.1?report=genbank&amp;log$=nucltop&amp;blast_rank=35&amp;RID=GYV8V2Y2013","XM_008081488.1")</f>
        <v>XM_008081488.1</v>
      </c>
    </row>
    <row r="243" spans="1:7" x14ac:dyDescent="0.35">
      <c r="A243" s="4" t="s">
        <v>828</v>
      </c>
      <c r="B243" s="4">
        <v>187</v>
      </c>
      <c r="C243" s="4">
        <v>187</v>
      </c>
      <c r="D243" s="5">
        <v>0.9</v>
      </c>
      <c r="E243" s="6">
        <v>5E-53</v>
      </c>
      <c r="F243" s="4">
        <v>42.67</v>
      </c>
      <c r="G243" s="4" t="str">
        <f>HYPERLINK("https://www.ncbi.nlm.nih.gov/nucleotide/XM_041369396.1?report=genbank&amp;log$=nucltop&amp;blast_rank=36&amp;RID=GYV8V2Y2013","XM_041369396.1")</f>
        <v>XM_041369396.1</v>
      </c>
    </row>
    <row r="244" spans="1:7" x14ac:dyDescent="0.35">
      <c r="A244" t="s">
        <v>279</v>
      </c>
      <c r="B244">
        <v>147</v>
      </c>
      <c r="C244">
        <v>147</v>
      </c>
      <c r="D244" s="2">
        <v>0.75</v>
      </c>
      <c r="E244" s="3">
        <v>3.9999999999999997E-39</v>
      </c>
      <c r="F244">
        <v>42.64</v>
      </c>
      <c r="G244" t="str">
        <f>HYPERLINK("https://www.ncbi.nlm.nih.gov/nucleotide/XM_028635266.1?report=genbank&amp;log$=nucltop&amp;blast_rank=37&amp;RID=GYV8V2Y2013","XM_028635266.1")</f>
        <v>XM_028635266.1</v>
      </c>
    </row>
    <row r="245" spans="1:7" x14ac:dyDescent="0.35">
      <c r="A245" s="4" t="s">
        <v>829</v>
      </c>
      <c r="B245" s="4">
        <v>205</v>
      </c>
      <c r="C245" s="4">
        <v>205</v>
      </c>
      <c r="D245" s="5">
        <v>0.93</v>
      </c>
      <c r="E245" s="6">
        <v>1E-61</v>
      </c>
      <c r="F245" s="4">
        <v>42.62</v>
      </c>
      <c r="G245" s="4" t="str">
        <f>HYPERLINK("https://www.ncbi.nlm.nih.gov/nucleotide/XM_041321780.1?report=genbank&amp;log$=nucltop&amp;blast_rank=38&amp;RID=GYV8V2Y2013","XM_041321780.1")</f>
        <v>XM_041321780.1</v>
      </c>
    </row>
    <row r="246" spans="1:7" x14ac:dyDescent="0.35">
      <c r="A246" t="s">
        <v>242</v>
      </c>
      <c r="B246">
        <v>147</v>
      </c>
      <c r="C246">
        <v>147</v>
      </c>
      <c r="D246" s="2">
        <v>0.78</v>
      </c>
      <c r="E246" s="3">
        <v>7.9999999999999994E-39</v>
      </c>
      <c r="F246">
        <v>42.57</v>
      </c>
      <c r="G246" t="str">
        <f>HYPERLINK("https://www.ncbi.nlm.nih.gov/nucleotide/XM_007295640.1?report=genbank&amp;log$=nucltop&amp;blast_rank=39&amp;RID=GYV8V2Y2013","XM_007295640.1")</f>
        <v>XM_007295640.1</v>
      </c>
    </row>
    <row r="247" spans="1:7" x14ac:dyDescent="0.35">
      <c r="A247" t="s">
        <v>238</v>
      </c>
      <c r="B247">
        <v>143</v>
      </c>
      <c r="C247">
        <v>143</v>
      </c>
      <c r="D247" s="2">
        <v>0.78</v>
      </c>
      <c r="E247" s="3">
        <v>1.9999999999999999E-36</v>
      </c>
      <c r="F247">
        <v>42.57</v>
      </c>
      <c r="G247" t="str">
        <f>HYPERLINK("https://www.ncbi.nlm.nih.gov/nucleotide/XM_018328867.1?report=genbank&amp;log$=nucltop&amp;blast_rank=40&amp;RID=GYV8V2Y2013","XM_018328867.1")</f>
        <v>XM_018328867.1</v>
      </c>
    </row>
    <row r="248" spans="1:7" x14ac:dyDescent="0.35">
      <c r="A248" s="4" t="s">
        <v>739</v>
      </c>
      <c r="B248" s="4">
        <v>132</v>
      </c>
      <c r="C248" s="4">
        <v>132</v>
      </c>
      <c r="D248" s="5">
        <v>0.76</v>
      </c>
      <c r="E248" s="6">
        <v>9.0000000000000001E-32</v>
      </c>
      <c r="F248" s="4">
        <v>42.57</v>
      </c>
      <c r="G248" s="4" t="str">
        <f>HYPERLINK("https://www.ncbi.nlm.nih.gov/nucleotide/XM_024813321.1?report=genbank&amp;log$=nucltop&amp;blast_rank=41&amp;RID=GYV8V2Y2013","XM_024813321.1")</f>
        <v>XM_024813321.1</v>
      </c>
    </row>
    <row r="249" spans="1:7" x14ac:dyDescent="0.35">
      <c r="A249" s="4" t="s">
        <v>830</v>
      </c>
      <c r="B249" s="4">
        <v>191</v>
      </c>
      <c r="C249" s="4">
        <v>191</v>
      </c>
      <c r="D249" s="5">
        <v>0.91</v>
      </c>
      <c r="E249" s="6">
        <v>2E-55</v>
      </c>
      <c r="F249" s="4">
        <v>42.55</v>
      </c>
      <c r="G249" s="4" t="str">
        <f>HYPERLINK("https://www.ncbi.nlm.nih.gov/nucleotide/XM_041428443.1?report=genbank&amp;log$=nucltop&amp;blast_rank=42&amp;RID=GYV8V2Y2013","XM_041428443.1")</f>
        <v>XM_041428443.1</v>
      </c>
    </row>
    <row r="250" spans="1:7" x14ac:dyDescent="0.35">
      <c r="A250" t="s">
        <v>247</v>
      </c>
      <c r="B250">
        <v>152</v>
      </c>
      <c r="C250">
        <v>152</v>
      </c>
      <c r="D250" s="2">
        <v>0.77</v>
      </c>
      <c r="E250" s="3">
        <v>9.0000000000000002E-39</v>
      </c>
      <c r="F250">
        <v>42.5</v>
      </c>
      <c r="G250" t="str">
        <f>HYPERLINK("https://www.ncbi.nlm.nih.gov/nucleotide/XM_033744228.1?report=genbank&amp;log$=nucltop&amp;blast_rank=43&amp;RID=GYV8V2Y2013","XM_033744228.1")</f>
        <v>XM_033744228.1</v>
      </c>
    </row>
    <row r="251" spans="1:7" x14ac:dyDescent="0.35">
      <c r="A251" t="s">
        <v>253</v>
      </c>
      <c r="B251">
        <v>144</v>
      </c>
      <c r="C251">
        <v>144</v>
      </c>
      <c r="D251" s="2">
        <v>0.77</v>
      </c>
      <c r="E251" s="3">
        <v>3.0000000000000002E-36</v>
      </c>
      <c r="F251">
        <v>42.5</v>
      </c>
      <c r="G251" t="str">
        <f>HYPERLINK("https://www.ncbi.nlm.nih.gov/nucleotide/XM_033719977.1?report=genbank&amp;log$=nucltop&amp;blast_rank=44&amp;RID=GYV8V2Y2013","XM_033719977.1")</f>
        <v>XM_033719977.1</v>
      </c>
    </row>
    <row r="252" spans="1:7" x14ac:dyDescent="0.35">
      <c r="A252" s="4" t="s">
        <v>282</v>
      </c>
      <c r="B252" s="4">
        <v>154</v>
      </c>
      <c r="C252" s="4">
        <v>154</v>
      </c>
      <c r="D252" s="5">
        <v>0.78</v>
      </c>
      <c r="E252" s="6">
        <v>2E-41</v>
      </c>
      <c r="F252" s="4">
        <v>42.36</v>
      </c>
      <c r="G252" s="4" t="str">
        <f>HYPERLINK("https://www.ncbi.nlm.nih.gov/nucleotide/XM_031153619.1?report=genbank&amp;log$=nucltop&amp;blast_rank=45&amp;RID=GYV8V2Y2013","XM_031153619.1")</f>
        <v>XM_031153619.1</v>
      </c>
    </row>
    <row r="253" spans="1:7" x14ac:dyDescent="0.35">
      <c r="A253" t="s">
        <v>236</v>
      </c>
      <c r="B253">
        <v>133</v>
      </c>
      <c r="C253">
        <v>133</v>
      </c>
      <c r="D253" s="2">
        <v>0.77</v>
      </c>
      <c r="E253" s="3">
        <v>6.9999999999999997E-33</v>
      </c>
      <c r="F253">
        <v>42.29</v>
      </c>
      <c r="G253" t="str">
        <f>HYPERLINK("https://www.ncbi.nlm.nih.gov/nucleotide/XM_003649649.1?report=genbank&amp;log$=nucltop&amp;blast_rank=46&amp;RID=GYV8V2Y2013","XM_003649649.1")</f>
        <v>XM_003649649.1</v>
      </c>
    </row>
    <row r="254" spans="1:7" x14ac:dyDescent="0.35">
      <c r="A254" t="s">
        <v>212</v>
      </c>
      <c r="B254">
        <v>129</v>
      </c>
      <c r="C254">
        <v>129</v>
      </c>
      <c r="D254" s="2">
        <v>0.76</v>
      </c>
      <c r="E254" s="3">
        <v>3E-32</v>
      </c>
      <c r="F254">
        <v>42.21</v>
      </c>
      <c r="G254" t="str">
        <f>HYPERLINK("https://www.ncbi.nlm.nih.gov/nucleotide/XM_024907130.1?report=genbank&amp;log$=nucltop&amp;blast_rank=47&amp;RID=GYV8V2Y2013","XM_024907130.1")</f>
        <v>XM_024907130.1</v>
      </c>
    </row>
    <row r="255" spans="1:7" x14ac:dyDescent="0.35">
      <c r="A255" t="s">
        <v>249</v>
      </c>
      <c r="B255">
        <v>147</v>
      </c>
      <c r="C255">
        <v>147</v>
      </c>
      <c r="D255" s="2">
        <v>0.75</v>
      </c>
      <c r="E255" s="3">
        <v>1.9999999999999999E-38</v>
      </c>
      <c r="F255">
        <v>42.13</v>
      </c>
      <c r="G255" t="str">
        <f>HYPERLINK("https://www.ncbi.nlm.nih.gov/nucleotide/XM_009650293.1?report=genbank&amp;log$=nucltop&amp;blast_rank=48&amp;RID=GYV8V2Y2013","XM_009650293.1")</f>
        <v>XM_009650293.1</v>
      </c>
    </row>
    <row r="256" spans="1:7" x14ac:dyDescent="0.35">
      <c r="A256" t="s">
        <v>250</v>
      </c>
      <c r="B256">
        <v>147</v>
      </c>
      <c r="C256">
        <v>147</v>
      </c>
      <c r="D256" s="2">
        <v>0.75</v>
      </c>
      <c r="E256" s="3">
        <v>3.9999999999999998E-36</v>
      </c>
      <c r="F256">
        <v>42.13</v>
      </c>
      <c r="G256" t="str">
        <f>HYPERLINK("https://www.ncbi.nlm.nih.gov/nucleotide/CP010980.1?report=genbank&amp;log$=nucltop&amp;blast_rank=49&amp;RID=GYV8V2Y2013","CP010980.1")</f>
        <v>CP010980.1</v>
      </c>
    </row>
    <row r="257" spans="1:7" x14ac:dyDescent="0.35">
      <c r="A257" t="s">
        <v>251</v>
      </c>
      <c r="B257">
        <v>147</v>
      </c>
      <c r="C257">
        <v>147</v>
      </c>
      <c r="D257" s="2">
        <v>0.75</v>
      </c>
      <c r="E257" s="3">
        <v>3.9999999999999998E-36</v>
      </c>
      <c r="F257">
        <v>42.13</v>
      </c>
      <c r="G257" t="str">
        <f>HYPERLINK("https://www.ncbi.nlm.nih.gov/nucleotide/CP009075.1?report=genbank&amp;log$=nucltop&amp;blast_rank=50&amp;RID=GYV8V2Y2013","CP009075.1")</f>
        <v>CP009075.1</v>
      </c>
    </row>
    <row r="258" spans="1:7" x14ac:dyDescent="0.35">
      <c r="A258" s="4" t="s">
        <v>740</v>
      </c>
      <c r="B258" s="4">
        <v>133</v>
      </c>
      <c r="C258" s="4">
        <v>133</v>
      </c>
      <c r="D258" s="5">
        <v>0.76</v>
      </c>
      <c r="E258" s="6">
        <v>6.0000000000000001E-32</v>
      </c>
      <c r="F258" s="4">
        <v>42.08</v>
      </c>
      <c r="G258" s="4" t="str">
        <f>HYPERLINK("https://www.ncbi.nlm.nih.gov/nucleotide/XM_024835101.1?report=genbank&amp;log$=nucltop&amp;blast_rank=51&amp;RID=GYV8V2Y2013","XM_024835101.1")</f>
        <v>XM_024835101.1</v>
      </c>
    </row>
    <row r="259" spans="1:7" x14ac:dyDescent="0.35">
      <c r="A259" t="s">
        <v>218</v>
      </c>
      <c r="B259">
        <v>151</v>
      </c>
      <c r="C259">
        <v>151</v>
      </c>
      <c r="D259" s="2">
        <v>0.77</v>
      </c>
      <c r="E259" s="3">
        <v>1.9999999999999999E-40</v>
      </c>
      <c r="F259">
        <v>42</v>
      </c>
      <c r="G259" t="str">
        <f>HYPERLINK("https://www.ncbi.nlm.nih.gov/nucleotide/XM_033831227.1?report=genbank&amp;log$=nucltop&amp;blast_rank=52&amp;RID=GYV8V2Y2013","XM_033831227.1")</f>
        <v>XM_033831227.1</v>
      </c>
    </row>
    <row r="260" spans="1:7" x14ac:dyDescent="0.35">
      <c r="A260" t="s">
        <v>257</v>
      </c>
      <c r="B260">
        <v>143</v>
      </c>
      <c r="C260">
        <v>143</v>
      </c>
      <c r="D260" s="2">
        <v>0.77</v>
      </c>
      <c r="E260" s="3">
        <v>1.9999999999999999E-36</v>
      </c>
      <c r="F260">
        <v>41.79</v>
      </c>
      <c r="G260" t="str">
        <f>HYPERLINK("https://www.ncbi.nlm.nih.gov/nucleotide/XM_003851169.1?report=genbank&amp;log$=nucltop&amp;blast_rank=53&amp;RID=GYV8V2Y2013","XM_003851169.1")</f>
        <v>XM_003851169.1</v>
      </c>
    </row>
    <row r="261" spans="1:7" x14ac:dyDescent="0.35">
      <c r="A261" t="s">
        <v>248</v>
      </c>
      <c r="B261">
        <v>136</v>
      </c>
      <c r="C261">
        <v>136</v>
      </c>
      <c r="D261" s="2">
        <v>0.77</v>
      </c>
      <c r="E261" s="3">
        <v>7.9999999999999994E-34</v>
      </c>
      <c r="F261">
        <v>41.79</v>
      </c>
      <c r="G261" t="str">
        <f>HYPERLINK("https://www.ncbi.nlm.nih.gov/nucleotide/XM_007930639.1?report=genbank&amp;log$=nucltop&amp;blast_rank=54&amp;RID=GYV8V2Y2013","XM_007930639.1")</f>
        <v>XM_007930639.1</v>
      </c>
    </row>
    <row r="262" spans="1:7" x14ac:dyDescent="0.35">
      <c r="A262" t="s">
        <v>831</v>
      </c>
      <c r="B262">
        <v>145</v>
      </c>
      <c r="C262">
        <v>145</v>
      </c>
      <c r="D262" s="2">
        <v>0.8</v>
      </c>
      <c r="E262" s="3">
        <v>1.0000000000000001E-37</v>
      </c>
      <c r="F262">
        <v>41.63</v>
      </c>
      <c r="G262" t="str">
        <f>HYPERLINK("https://www.ncbi.nlm.nih.gov/nucleotide/XM_040768522.1?report=genbank&amp;log$=nucltop&amp;blast_rank=55&amp;RID=GYV8V2Y2013","XM_040768522.1")</f>
        <v>XM_040768522.1</v>
      </c>
    </row>
    <row r="263" spans="1:7" x14ac:dyDescent="0.35">
      <c r="A263" t="s">
        <v>213</v>
      </c>
      <c r="B263">
        <v>147</v>
      </c>
      <c r="C263">
        <v>147</v>
      </c>
      <c r="D263" s="2">
        <v>0.77</v>
      </c>
      <c r="E263" s="3">
        <v>9.9999999999999996E-39</v>
      </c>
      <c r="F263">
        <v>41.58</v>
      </c>
      <c r="G263" t="str">
        <f>HYPERLINK("https://www.ncbi.nlm.nih.gov/nucleotide/XM_037299585.1?report=genbank&amp;log$=nucltop&amp;blast_rank=56&amp;RID=GYV8V2Y2013","XM_037299585.1")</f>
        <v>XM_037299585.1</v>
      </c>
    </row>
    <row r="264" spans="1:7" x14ac:dyDescent="0.35">
      <c r="A264" t="s">
        <v>214</v>
      </c>
      <c r="B264">
        <v>147</v>
      </c>
      <c r="C264">
        <v>147</v>
      </c>
      <c r="D264" s="2">
        <v>0.77</v>
      </c>
      <c r="E264" s="3">
        <v>9.9999999999999996E-39</v>
      </c>
      <c r="F264">
        <v>41.58</v>
      </c>
      <c r="G264" t="str">
        <f>HYPERLINK("https://www.ncbi.nlm.nih.gov/nucleotide/XM_037307991.1?report=genbank&amp;log$=nucltop&amp;blast_rank=57&amp;RID=GYV8V2Y2013","XM_037307991.1")</f>
        <v>XM_037307991.1</v>
      </c>
    </row>
    <row r="265" spans="1:7" x14ac:dyDescent="0.35">
      <c r="A265" t="s">
        <v>252</v>
      </c>
      <c r="B265">
        <v>142</v>
      </c>
      <c r="C265">
        <v>142</v>
      </c>
      <c r="D265" s="2">
        <v>0.78</v>
      </c>
      <c r="E265" s="3">
        <v>1.9999999999999999E-36</v>
      </c>
      <c r="F265">
        <v>41.58</v>
      </c>
      <c r="G265" t="str">
        <f>HYPERLINK("https://www.ncbi.nlm.nih.gov/nucleotide/XM_018174954.1?report=genbank&amp;log$=nucltop&amp;blast_rank=58&amp;RID=GYV8V2Y2013","XM_018174954.1")</f>
        <v>XM_018174954.1</v>
      </c>
    </row>
    <row r="266" spans="1:7" x14ac:dyDescent="0.35">
      <c r="A266" t="s">
        <v>832</v>
      </c>
      <c r="B266">
        <v>189</v>
      </c>
      <c r="C266">
        <v>189</v>
      </c>
      <c r="D266" s="2">
        <v>0.91</v>
      </c>
      <c r="E266" s="3">
        <v>2E-55</v>
      </c>
      <c r="F266">
        <v>41.45</v>
      </c>
      <c r="G266" t="str">
        <f>HYPERLINK("https://www.ncbi.nlm.nih.gov/nucleotide/XM_041445723.1?report=genbank&amp;log$=nucltop&amp;blast_rank=59&amp;RID=GYV8V2Y2013","XM_041445723.1")</f>
        <v>XM_041445723.1</v>
      </c>
    </row>
    <row r="267" spans="1:7" x14ac:dyDescent="0.35">
      <c r="A267" t="s">
        <v>211</v>
      </c>
      <c r="B267">
        <v>134</v>
      </c>
      <c r="C267">
        <v>134</v>
      </c>
      <c r="D267" s="2">
        <v>0.76</v>
      </c>
      <c r="E267" s="3">
        <v>3.9999999999999997E-34</v>
      </c>
      <c r="F267">
        <v>41.21</v>
      </c>
      <c r="G267" t="str">
        <f>HYPERLINK("https://www.ncbi.nlm.nih.gov/nucleotide/XM_014093215.1?report=genbank&amp;log$=nucltop&amp;blast_rank=60&amp;RID=GYV8V2Y2013","XM_014093215.1")</f>
        <v>XM_014093215.1</v>
      </c>
    </row>
    <row r="268" spans="1:7" x14ac:dyDescent="0.35">
      <c r="A268" t="s">
        <v>833</v>
      </c>
      <c r="B268">
        <v>134</v>
      </c>
      <c r="C268">
        <v>134</v>
      </c>
      <c r="D268" s="2">
        <v>0.78</v>
      </c>
      <c r="E268" s="3">
        <v>4.0000000000000002E-32</v>
      </c>
      <c r="F268">
        <v>41.18</v>
      </c>
      <c r="G268" t="str">
        <f>HYPERLINK("https://www.ncbi.nlm.nih.gov/nucleotide/XM_040859240.1?report=genbank&amp;log$=nucltop&amp;blast_rank=61&amp;RID=GYV8V2Y2013","XM_040859240.1")</f>
        <v>XM_040859240.1</v>
      </c>
    </row>
    <row r="269" spans="1:7" x14ac:dyDescent="0.35">
      <c r="A269" t="s">
        <v>255</v>
      </c>
      <c r="B269">
        <v>147</v>
      </c>
      <c r="C269">
        <v>147</v>
      </c>
      <c r="D269" s="2">
        <v>0.76</v>
      </c>
      <c r="E269" s="3">
        <v>4.9999999999999997E-37</v>
      </c>
      <c r="F269">
        <v>41.12</v>
      </c>
      <c r="G269" t="str">
        <f>HYPERLINK("https://www.ncbi.nlm.nih.gov/nucleotide/XM_033533880.1?report=genbank&amp;log$=nucltop&amp;blast_rank=62&amp;RID=GYV8V2Y2013","XM_033533880.1")</f>
        <v>XM_033533880.1</v>
      </c>
    </row>
    <row r="270" spans="1:7" x14ac:dyDescent="0.35">
      <c r="A270" t="s">
        <v>834</v>
      </c>
      <c r="B270">
        <v>134</v>
      </c>
      <c r="C270">
        <v>134</v>
      </c>
      <c r="D270" s="2">
        <v>0.76</v>
      </c>
      <c r="E270" s="3">
        <v>5.0000000000000003E-34</v>
      </c>
      <c r="F270">
        <v>41.09</v>
      </c>
      <c r="G270" t="str">
        <f>HYPERLINK("https://www.ncbi.nlm.nih.gov/nucleotide/XM_040832818.1?report=genbank&amp;log$=nucltop&amp;blast_rank=63&amp;RID=GYV8V2Y2013","XM_040832818.1")</f>
        <v>XM_040832818.1</v>
      </c>
    </row>
    <row r="271" spans="1:7" x14ac:dyDescent="0.35">
      <c r="A271" t="s">
        <v>262</v>
      </c>
      <c r="B271">
        <v>133</v>
      </c>
      <c r="C271">
        <v>133</v>
      </c>
      <c r="D271" s="2">
        <v>0.77</v>
      </c>
      <c r="E271" s="3">
        <v>2.0000000000000001E-32</v>
      </c>
      <c r="F271">
        <v>41</v>
      </c>
      <c r="G271" t="str">
        <f>HYPERLINK("https://www.ncbi.nlm.nih.gov/nucleotide/XM_024881431.1?report=genbank&amp;log$=nucltop&amp;blast_rank=64&amp;RID=GYV8V2Y2013","XM_024881431.1")</f>
        <v>XM_024881431.1</v>
      </c>
    </row>
    <row r="272" spans="1:7" x14ac:dyDescent="0.35">
      <c r="A272" t="s">
        <v>259</v>
      </c>
      <c r="B272">
        <v>140</v>
      </c>
      <c r="C272">
        <v>140</v>
      </c>
      <c r="D272" s="2">
        <v>0.77</v>
      </c>
      <c r="E272" s="3">
        <v>3.9999999999999998E-36</v>
      </c>
      <c r="F272">
        <v>40.799999999999997</v>
      </c>
      <c r="G272" t="str">
        <f>HYPERLINK("https://www.ncbi.nlm.nih.gov/nucleotide/XM_033805656.1?report=genbank&amp;log$=nucltop&amp;blast_rank=65&amp;RID=GYV8V2Y2013","XM_033805656.1")</f>
        <v>XM_033805656.1</v>
      </c>
    </row>
    <row r="273" spans="1:7" x14ac:dyDescent="0.35">
      <c r="A273" t="s">
        <v>261</v>
      </c>
      <c r="B273">
        <v>131</v>
      </c>
      <c r="C273">
        <v>131</v>
      </c>
      <c r="D273" s="2">
        <v>0.77</v>
      </c>
      <c r="E273" s="3">
        <v>6.9999999999999997E-33</v>
      </c>
      <c r="F273">
        <v>40.799999999999997</v>
      </c>
      <c r="G273" t="str">
        <f>HYPERLINK("https://www.ncbi.nlm.nih.gov/nucleotide/XM_007836483.1?report=genbank&amp;log$=nucltop&amp;blast_rank=66&amp;RID=GYV8V2Y2013","XM_007836483.1")</f>
        <v>XM_007836483.1</v>
      </c>
    </row>
    <row r="274" spans="1:7" x14ac:dyDescent="0.35">
      <c r="A274" t="s">
        <v>835</v>
      </c>
      <c r="B274">
        <v>197</v>
      </c>
      <c r="C274">
        <v>197</v>
      </c>
      <c r="D274" s="2">
        <v>0.98</v>
      </c>
      <c r="E274" s="3">
        <v>3.9999999999999998E-57</v>
      </c>
      <c r="F274">
        <v>40.700000000000003</v>
      </c>
      <c r="G274" t="str">
        <f>HYPERLINK("https://www.ncbi.nlm.nih.gov/nucleotide/XM_041303645.1?report=genbank&amp;log$=nucltop&amp;blast_rank=67&amp;RID=GYV8V2Y2013","XM_041303645.1")</f>
        <v>XM_041303645.1</v>
      </c>
    </row>
    <row r="275" spans="1:7" x14ac:dyDescent="0.35">
      <c r="A275" t="s">
        <v>265</v>
      </c>
      <c r="B275">
        <v>140</v>
      </c>
      <c r="C275">
        <v>140</v>
      </c>
      <c r="D275" s="2">
        <v>0.77</v>
      </c>
      <c r="E275" s="3">
        <v>1.9999999999999999E-34</v>
      </c>
      <c r="F275">
        <v>40.5</v>
      </c>
      <c r="G275" t="str">
        <f>HYPERLINK("https://www.ncbi.nlm.nih.gov/nucleotide/XM_018215251.1?report=genbank&amp;log$=nucltop&amp;blast_rank=68&amp;RID=GYV8V2Y2013","XM_018215251.1")</f>
        <v>XM_018215251.1</v>
      </c>
    </row>
    <row r="276" spans="1:7" x14ac:dyDescent="0.35">
      <c r="A276" t="s">
        <v>836</v>
      </c>
      <c r="B276">
        <v>130</v>
      </c>
      <c r="C276">
        <v>130</v>
      </c>
      <c r="D276" s="2">
        <v>0.78</v>
      </c>
      <c r="E276" s="3">
        <v>8.0000000000000004E-33</v>
      </c>
      <c r="F276">
        <v>40.49</v>
      </c>
      <c r="G276" t="str">
        <f>HYPERLINK("https://www.ncbi.nlm.nih.gov/nucleotide/XM_040803578.1?report=genbank&amp;log$=nucltop&amp;blast_rank=69&amp;RID=GYV8V2Y2013","XM_040803578.1")</f>
        <v>XM_040803578.1</v>
      </c>
    </row>
    <row r="277" spans="1:7" x14ac:dyDescent="0.35">
      <c r="A277" t="s">
        <v>260</v>
      </c>
      <c r="B277">
        <v>138</v>
      </c>
      <c r="C277">
        <v>138</v>
      </c>
      <c r="D277" s="2">
        <v>0.77</v>
      </c>
      <c r="E277" s="3">
        <v>2E-35</v>
      </c>
      <c r="F277">
        <v>40.299999999999997</v>
      </c>
      <c r="G277" t="str">
        <f>HYPERLINK("https://www.ncbi.nlm.nih.gov/nucleotide/XM_023769316.1?report=genbank&amp;log$=nucltop&amp;blast_rank=70&amp;RID=GYV8V2Y2013","XM_023769316.1")</f>
        <v>XM_023769316.1</v>
      </c>
    </row>
    <row r="278" spans="1:7" x14ac:dyDescent="0.35">
      <c r="A278" t="s">
        <v>268</v>
      </c>
      <c r="B278">
        <v>137</v>
      </c>
      <c r="C278">
        <v>137</v>
      </c>
      <c r="D278" s="2">
        <v>0.75</v>
      </c>
      <c r="E278" s="3">
        <v>4E-35</v>
      </c>
      <c r="F278">
        <v>40.200000000000003</v>
      </c>
      <c r="G278" t="str">
        <f>HYPERLINK("https://www.ncbi.nlm.nih.gov/nucleotide/XM_016742376.1?report=genbank&amp;log$=nucltop&amp;blast_rank=71&amp;RID=GYV8V2Y2013","XM_016742376.1")</f>
        <v>XM_016742376.1</v>
      </c>
    </row>
    <row r="279" spans="1:7" x14ac:dyDescent="0.35">
      <c r="A279" t="s">
        <v>272</v>
      </c>
      <c r="B279">
        <v>142</v>
      </c>
      <c r="C279">
        <v>142</v>
      </c>
      <c r="D279" s="2">
        <v>0.77</v>
      </c>
      <c r="E279" s="3">
        <v>1.9999999999999999E-36</v>
      </c>
      <c r="F279">
        <v>40.1</v>
      </c>
      <c r="G279" t="str">
        <f>HYPERLINK("https://www.ncbi.nlm.nih.gov/nucleotide/XM_001911327.1?report=genbank&amp;log$=nucltop&amp;blast_rank=72&amp;RID=GYV8V2Y2013","XM_001911327.1")</f>
        <v>XM_001911327.1</v>
      </c>
    </row>
    <row r="280" spans="1:7" x14ac:dyDescent="0.35">
      <c r="A280" t="s">
        <v>267</v>
      </c>
      <c r="B280">
        <v>129</v>
      </c>
      <c r="C280">
        <v>129</v>
      </c>
      <c r="D280" s="2">
        <v>0.76</v>
      </c>
      <c r="E280" s="3">
        <v>8.0000000000000004E-32</v>
      </c>
      <c r="F280">
        <v>40.1</v>
      </c>
      <c r="G280" t="str">
        <f>HYPERLINK("https://www.ncbi.nlm.nih.gov/nucleotide/XM_745463.1?report=genbank&amp;log$=nucltop&amp;blast_rank=73&amp;RID=GYV8V2Y2013","XM_745463.1")</f>
        <v>XM_745463.1</v>
      </c>
    </row>
    <row r="281" spans="1:7" x14ac:dyDescent="0.35">
      <c r="A281" t="s">
        <v>191</v>
      </c>
      <c r="B281">
        <v>131</v>
      </c>
      <c r="C281">
        <v>131</v>
      </c>
      <c r="D281" s="2">
        <v>0.75</v>
      </c>
      <c r="E281" s="3">
        <v>2.0000000000000001E-32</v>
      </c>
      <c r="F281">
        <v>40</v>
      </c>
      <c r="G281" t="str">
        <f>HYPERLINK("https://www.ncbi.nlm.nih.gov/nucleotide/XM_016379292.1?report=genbank&amp;log$=nucltop&amp;blast_rank=74&amp;RID=GYV8V2Y2013","XM_016379292.1")</f>
        <v>XM_016379292.1</v>
      </c>
    </row>
    <row r="282" spans="1:7" x14ac:dyDescent="0.35">
      <c r="A282" t="s">
        <v>216</v>
      </c>
      <c r="B282">
        <v>129</v>
      </c>
      <c r="C282">
        <v>129</v>
      </c>
      <c r="D282" s="2">
        <v>0.77</v>
      </c>
      <c r="E282" s="3">
        <v>4.0000000000000002E-32</v>
      </c>
      <c r="F282">
        <v>40</v>
      </c>
      <c r="G282" t="str">
        <f>HYPERLINK("https://www.ncbi.nlm.nih.gov/nucleotide/XM_024034823.1?report=genbank&amp;log$=nucltop&amp;blast_rank=75&amp;RID=GYV8V2Y2013","XM_024034823.1")</f>
        <v>XM_024034823.1</v>
      </c>
    </row>
    <row r="283" spans="1:7" x14ac:dyDescent="0.35">
      <c r="A283" t="s">
        <v>139</v>
      </c>
      <c r="B283">
        <v>135</v>
      </c>
      <c r="C283">
        <v>135</v>
      </c>
      <c r="D283" s="2">
        <v>0.76</v>
      </c>
      <c r="E283" s="3">
        <v>3E-32</v>
      </c>
      <c r="F283">
        <v>39.9</v>
      </c>
      <c r="G283" t="str">
        <f>HYPERLINK("https://www.ncbi.nlm.nih.gov/nucleotide/XM_016366306.1?report=genbank&amp;log$=nucltop&amp;blast_rank=76&amp;RID=GYV8V2Y2013","XM_016366306.1")</f>
        <v>XM_016366306.1</v>
      </c>
    </row>
    <row r="284" spans="1:7" x14ac:dyDescent="0.35">
      <c r="A284" t="s">
        <v>176</v>
      </c>
      <c r="B284">
        <v>129</v>
      </c>
      <c r="C284">
        <v>129</v>
      </c>
      <c r="D284" s="2">
        <v>0.75</v>
      </c>
      <c r="E284" s="3">
        <v>2.0000000000000002E-31</v>
      </c>
      <c r="F284">
        <v>39.9</v>
      </c>
      <c r="G284" t="str">
        <f>HYPERLINK("https://www.ncbi.nlm.nih.gov/nucleotide/XM_003006183.1?report=genbank&amp;log$=nucltop&amp;blast_rank=77&amp;RID=GYV8V2Y2013","XM_003006183.1")</f>
        <v>XM_003006183.1</v>
      </c>
    </row>
    <row r="285" spans="1:7" x14ac:dyDescent="0.35">
      <c r="A285" t="s">
        <v>266</v>
      </c>
      <c r="B285">
        <v>134</v>
      </c>
      <c r="C285">
        <v>134</v>
      </c>
      <c r="D285" s="2">
        <v>0.77</v>
      </c>
      <c r="E285" s="3">
        <v>1.0000000000000001E-32</v>
      </c>
      <c r="F285">
        <v>39.799999999999997</v>
      </c>
      <c r="G285" t="str">
        <f>HYPERLINK("https://www.ncbi.nlm.nih.gov/nucleotide/XM_007683500.1?report=genbank&amp;log$=nucltop&amp;blast_rank=78&amp;RID=GYV8V2Y2013","XM_007683500.1")</f>
        <v>XM_007683500.1</v>
      </c>
    </row>
    <row r="286" spans="1:7" x14ac:dyDescent="0.35">
      <c r="A286" t="s">
        <v>271</v>
      </c>
      <c r="B286">
        <v>134</v>
      </c>
      <c r="C286">
        <v>134</v>
      </c>
      <c r="D286" s="2">
        <v>0.75</v>
      </c>
      <c r="E286" s="3">
        <v>3.9999999999999997E-34</v>
      </c>
      <c r="F286">
        <v>39.700000000000003</v>
      </c>
      <c r="G286" t="str">
        <f>HYPERLINK("https://www.ncbi.nlm.nih.gov/nucleotide/XM_014675514.1?report=genbank&amp;log$=nucltop&amp;blast_rank=79&amp;RID=GYV8V2Y2013","XM_014675514.1")</f>
        <v>XM_014675514.1</v>
      </c>
    </row>
    <row r="287" spans="1:7" x14ac:dyDescent="0.35">
      <c r="A287" t="s">
        <v>225</v>
      </c>
      <c r="B287">
        <v>137</v>
      </c>
      <c r="C287">
        <v>137</v>
      </c>
      <c r="D287" s="2">
        <v>0.75</v>
      </c>
      <c r="E287" s="3">
        <v>6.9999999999999999E-35</v>
      </c>
      <c r="F287">
        <v>39.49</v>
      </c>
      <c r="G287" t="str">
        <f>HYPERLINK("https://www.ncbi.nlm.nih.gov/nucleotide/XM_007722025.1?report=genbank&amp;log$=nucltop&amp;blast_rank=80&amp;RID=GYV8V2Y2013","XM_007722025.1")</f>
        <v>XM_007722025.1</v>
      </c>
    </row>
    <row r="288" spans="1:7" x14ac:dyDescent="0.35">
      <c r="A288" t="s">
        <v>837</v>
      </c>
      <c r="B288">
        <v>130</v>
      </c>
      <c r="C288">
        <v>130</v>
      </c>
      <c r="D288" s="2">
        <v>0.75</v>
      </c>
      <c r="E288" s="3">
        <v>2.0000000000000002E-31</v>
      </c>
      <c r="F288">
        <v>39.39</v>
      </c>
      <c r="G288" t="str">
        <f>HYPERLINK("https://www.ncbi.nlm.nih.gov/nucleotide/XM_040796911.1?report=genbank&amp;log$=nucltop&amp;blast_rank=81&amp;RID=GYV8V2Y2013","XM_040796911.1")</f>
        <v>XM_040796911.1</v>
      </c>
    </row>
    <row r="289" spans="1:7" x14ac:dyDescent="0.35">
      <c r="A289" t="s">
        <v>838</v>
      </c>
      <c r="B289">
        <v>140</v>
      </c>
      <c r="C289">
        <v>140</v>
      </c>
      <c r="D289" s="2">
        <v>0.75</v>
      </c>
      <c r="E289" s="3">
        <v>1E-35</v>
      </c>
      <c r="F289">
        <v>39.29</v>
      </c>
      <c r="G289" t="str">
        <f>HYPERLINK("https://www.ncbi.nlm.nih.gov/nucleotide/XM_038932773.1?report=genbank&amp;log$=nucltop&amp;blast_rank=82&amp;RID=GYV8V2Y2013","XM_038932773.1")</f>
        <v>XM_038932773.1</v>
      </c>
    </row>
    <row r="290" spans="1:7" x14ac:dyDescent="0.35">
      <c r="A290" t="s">
        <v>269</v>
      </c>
      <c r="B290">
        <v>139</v>
      </c>
      <c r="C290">
        <v>139</v>
      </c>
      <c r="D290" s="2">
        <v>0.75</v>
      </c>
      <c r="E290" s="3">
        <v>1E-35</v>
      </c>
      <c r="F290">
        <v>39.29</v>
      </c>
      <c r="G290" t="str">
        <f>HYPERLINK("https://www.ncbi.nlm.nih.gov/nucleotide/XM_028655763.1?report=genbank&amp;log$=nucltop&amp;blast_rank=83&amp;RID=GYV8V2Y2013","XM_028655763.1")</f>
        <v>XM_028655763.1</v>
      </c>
    </row>
    <row r="291" spans="1:7" x14ac:dyDescent="0.35">
      <c r="A291" t="s">
        <v>270</v>
      </c>
      <c r="B291">
        <v>139</v>
      </c>
      <c r="C291">
        <v>139</v>
      </c>
      <c r="D291" s="2">
        <v>0.75</v>
      </c>
      <c r="E291" s="3">
        <v>1E-35</v>
      </c>
      <c r="F291">
        <v>39.29</v>
      </c>
      <c r="G291" t="str">
        <f>HYPERLINK("https://www.ncbi.nlm.nih.gov/nucleotide/XM_018534397.1?report=genbank&amp;log$=nucltop&amp;blast_rank=84&amp;RID=GYV8V2Y2013","XM_018534397.1")</f>
        <v>XM_018534397.1</v>
      </c>
    </row>
    <row r="292" spans="1:7" x14ac:dyDescent="0.35">
      <c r="A292" t="s">
        <v>274</v>
      </c>
      <c r="B292">
        <v>139</v>
      </c>
      <c r="C292">
        <v>139</v>
      </c>
      <c r="D292" s="2">
        <v>0.75</v>
      </c>
      <c r="E292" s="3">
        <v>2E-35</v>
      </c>
      <c r="F292">
        <v>39.29</v>
      </c>
      <c r="G292" t="str">
        <f>HYPERLINK("https://www.ncbi.nlm.nih.gov/nucleotide/XM_008033263.1?report=genbank&amp;log$=nucltop&amp;blast_rank=85&amp;RID=GYV8V2Y2013","XM_008033263.1")</f>
        <v>XM_008033263.1</v>
      </c>
    </row>
    <row r="293" spans="1:7" x14ac:dyDescent="0.35">
      <c r="A293" t="s">
        <v>224</v>
      </c>
      <c r="B293">
        <v>134</v>
      </c>
      <c r="C293">
        <v>134</v>
      </c>
      <c r="D293" s="2">
        <v>0.75</v>
      </c>
      <c r="E293" s="3">
        <v>6E-34</v>
      </c>
      <c r="F293">
        <v>39.200000000000003</v>
      </c>
      <c r="G293" t="str">
        <f>HYPERLINK("https://www.ncbi.nlm.nih.gov/nucleotide/XM_022626531.1?report=genbank&amp;log$=nucltop&amp;blast_rank=86&amp;RID=GYV8V2Y2013","XM_022626531.1")</f>
        <v>XM_022626531.1</v>
      </c>
    </row>
    <row r="294" spans="1:7" x14ac:dyDescent="0.35">
      <c r="A294" t="s">
        <v>839</v>
      </c>
      <c r="B294">
        <v>132</v>
      </c>
      <c r="C294">
        <v>132</v>
      </c>
      <c r="D294" s="2">
        <v>0.75</v>
      </c>
      <c r="E294" s="3">
        <v>3.0000000000000002E-33</v>
      </c>
      <c r="F294">
        <v>39.200000000000003</v>
      </c>
      <c r="G294" t="str">
        <f>HYPERLINK("https://www.ncbi.nlm.nih.gov/nucleotide/XM_040791983.1?report=genbank&amp;log$=nucltop&amp;blast_rank=87&amp;RID=GYV8V2Y2013","XM_040791983.1")</f>
        <v>XM_040791983.1</v>
      </c>
    </row>
    <row r="295" spans="1:7" x14ac:dyDescent="0.35">
      <c r="A295" t="s">
        <v>264</v>
      </c>
      <c r="B295">
        <v>138</v>
      </c>
      <c r="C295">
        <v>138</v>
      </c>
      <c r="D295" s="2">
        <v>0.75</v>
      </c>
      <c r="E295" s="3">
        <v>4E-35</v>
      </c>
      <c r="F295">
        <v>38.97</v>
      </c>
      <c r="G295" t="str">
        <f>HYPERLINK("https://www.ncbi.nlm.nih.gov/nucleotide/XM_009154513.1?report=genbank&amp;log$=nucltop&amp;blast_rank=88&amp;RID=GYV8V2Y2013","XM_009154513.1")</f>
        <v>XM_009154513.1</v>
      </c>
    </row>
    <row r="296" spans="1:7" x14ac:dyDescent="0.35">
      <c r="A296" t="s">
        <v>273</v>
      </c>
      <c r="B296">
        <v>135</v>
      </c>
      <c r="C296">
        <v>135</v>
      </c>
      <c r="D296" s="2">
        <v>0.77</v>
      </c>
      <c r="E296" s="3">
        <v>6.9999999999999997E-34</v>
      </c>
      <c r="F296">
        <v>38.5</v>
      </c>
      <c r="G296" t="str">
        <f>HYPERLINK("https://www.ncbi.nlm.nih.gov/nucleotide/XM_007788590.1?report=genbank&amp;log$=nucltop&amp;blast_rank=89&amp;RID=GYV8V2Y2013","XM_007788590.1")</f>
        <v>XM_007788590.1</v>
      </c>
    </row>
    <row r="297" spans="1:7" x14ac:dyDescent="0.35">
      <c r="A297" t="s">
        <v>276</v>
      </c>
      <c r="B297">
        <v>129</v>
      </c>
      <c r="C297">
        <v>129</v>
      </c>
      <c r="D297" s="2">
        <v>0.77</v>
      </c>
      <c r="E297" s="3">
        <v>4.0000000000000002E-32</v>
      </c>
      <c r="F297">
        <v>38.42</v>
      </c>
      <c r="G297" t="str">
        <f>HYPERLINK("https://www.ncbi.nlm.nih.gov/nucleotide/XM_024466619.1?report=genbank&amp;log$=nucltop&amp;blast_rank=90&amp;RID=GYV8V2Y2013","XM_024466619.1")</f>
        <v>XM_024466619.1</v>
      </c>
    </row>
    <row r="298" spans="1:7" x14ac:dyDescent="0.35">
      <c r="A298" t="s">
        <v>277</v>
      </c>
      <c r="B298">
        <v>134</v>
      </c>
      <c r="C298">
        <v>134</v>
      </c>
      <c r="D298" s="2">
        <v>0.78</v>
      </c>
      <c r="E298" s="3">
        <v>3E-32</v>
      </c>
      <c r="F298">
        <v>37.86</v>
      </c>
      <c r="G298" t="str">
        <f>HYPERLINK("https://www.ncbi.nlm.nih.gov/nucleotide/XM_033803268.1?report=genbank&amp;log$=nucltop&amp;blast_rank=91&amp;RID=GYV8V2Y2013","XM_033803268.1")</f>
        <v>XM_033803268.1</v>
      </c>
    </row>
    <row r="299" spans="1:7" x14ac:dyDescent="0.35">
      <c r="A299" t="s">
        <v>275</v>
      </c>
      <c r="B299">
        <v>130</v>
      </c>
      <c r="C299">
        <v>130</v>
      </c>
      <c r="D299" s="2">
        <v>0.75</v>
      </c>
      <c r="E299" s="3">
        <v>2.0000000000000001E-32</v>
      </c>
      <c r="F299">
        <v>37.69</v>
      </c>
      <c r="G299" t="str">
        <f>HYPERLINK("https://www.ncbi.nlm.nih.gov/nucleotide/XM_002560097.1?report=genbank&amp;log$=nucltop&amp;blast_rank=92&amp;RID=GYV8V2Y2013","XM_002560097.1")</f>
        <v>XM_002560097.1</v>
      </c>
    </row>
    <row r="300" spans="1:7" x14ac:dyDescent="0.35">
      <c r="A300" t="s">
        <v>281</v>
      </c>
      <c r="B300">
        <v>136</v>
      </c>
      <c r="C300">
        <v>136</v>
      </c>
      <c r="D300" s="2">
        <v>0.77</v>
      </c>
      <c r="E300" s="3">
        <v>3E-34</v>
      </c>
      <c r="F300">
        <v>37.5</v>
      </c>
      <c r="G300" t="str">
        <f>HYPERLINK("https://www.ncbi.nlm.nih.gov/nucleotide/XM_007704195.1?report=genbank&amp;log$=nucltop&amp;blast_rank=93&amp;RID=GYV8V2Y2013","XM_007704195.1")</f>
        <v>XM_007704195.1</v>
      </c>
    </row>
    <row r="301" spans="1:7" x14ac:dyDescent="0.35">
      <c r="A301" t="s">
        <v>254</v>
      </c>
      <c r="B301">
        <v>155</v>
      </c>
      <c r="C301">
        <v>155</v>
      </c>
      <c r="D301" s="2">
        <v>0.96</v>
      </c>
      <c r="E301" s="3">
        <v>4.0000000000000002E-42</v>
      </c>
      <c r="F301">
        <v>37.11</v>
      </c>
      <c r="G301" t="str">
        <f>HYPERLINK("https://www.ncbi.nlm.nih.gov/nucleotide/XM_018276579.1?report=genbank&amp;log$=nucltop&amp;blast_rank=94&amp;RID=GYV8V2Y2013","XM_018276579.1")</f>
        <v>XM_018276579.1</v>
      </c>
    </row>
    <row r="302" spans="1:7" x14ac:dyDescent="0.35">
      <c r="A302" t="s">
        <v>278</v>
      </c>
      <c r="B302">
        <v>132</v>
      </c>
      <c r="C302">
        <v>132</v>
      </c>
      <c r="D302" s="2">
        <v>0.78</v>
      </c>
      <c r="E302" s="3">
        <v>5.0000000000000004E-32</v>
      </c>
      <c r="F302">
        <v>36.630000000000003</v>
      </c>
      <c r="G302" t="str">
        <f>HYPERLINK("https://www.ncbi.nlm.nih.gov/nucleotide/XM_001933154.1?report=genbank&amp;log$=nucltop&amp;blast_rank=95&amp;RID=GYV8V2Y2013","XM_001933154.1")</f>
        <v>XM_001933154.1</v>
      </c>
    </row>
    <row r="303" spans="1:7" x14ac:dyDescent="0.35">
      <c r="A303" t="s">
        <v>840</v>
      </c>
      <c r="B303">
        <v>135</v>
      </c>
      <c r="C303">
        <v>135</v>
      </c>
      <c r="D303" s="2">
        <v>0.76</v>
      </c>
      <c r="E303" s="3">
        <v>1.0000000000000001E-33</v>
      </c>
      <c r="F303">
        <v>36.36</v>
      </c>
      <c r="G303" t="str">
        <f>HYPERLINK("https://www.ncbi.nlm.nih.gov/nucleotide/XM_040866150.1?report=genbank&amp;log$=nucltop&amp;blast_rank=96&amp;RID=GYV8V2Y2013","XM_040866150.1")</f>
        <v>XM_040866150.1</v>
      </c>
    </row>
    <row r="304" spans="1:7" x14ac:dyDescent="0.35">
      <c r="A304" t="s">
        <v>147</v>
      </c>
      <c r="B304">
        <v>130</v>
      </c>
      <c r="C304">
        <v>130</v>
      </c>
      <c r="D304" s="2">
        <v>0.95</v>
      </c>
      <c r="E304" s="3">
        <v>6.0000000000000001E-32</v>
      </c>
      <c r="F304">
        <v>35.06</v>
      </c>
      <c r="G304" t="str">
        <f>HYPERLINK("https://www.ncbi.nlm.nih.gov/nucleotide/XM_007741154.1?report=genbank&amp;log$=nucltop&amp;blast_rank=97&amp;RID=GYV8V2Y2013","XM_007741154.1")</f>
        <v>XM_007741154.1</v>
      </c>
    </row>
    <row r="305" spans="1:7" x14ac:dyDescent="0.35">
      <c r="A305" t="s">
        <v>148</v>
      </c>
      <c r="B305">
        <v>131</v>
      </c>
      <c r="C305">
        <v>131</v>
      </c>
      <c r="D305" s="2">
        <v>0.95</v>
      </c>
      <c r="E305" s="3">
        <v>3E-32</v>
      </c>
      <c r="F305">
        <v>34.659999999999997</v>
      </c>
      <c r="G305" t="str">
        <f>HYPERLINK("https://www.ncbi.nlm.nih.gov/nucleotide/XM_016758299.1?report=genbank&amp;log$=nucltop&amp;blast_rank=98&amp;RID=GYV8V2Y2013","XM_016758299.1")</f>
        <v>XM_016758299.1</v>
      </c>
    </row>
    <row r="306" spans="1:7" x14ac:dyDescent="0.35">
      <c r="A306" t="s">
        <v>223</v>
      </c>
      <c r="B306">
        <v>130</v>
      </c>
      <c r="C306">
        <v>130</v>
      </c>
      <c r="D306" s="2">
        <v>0.95</v>
      </c>
      <c r="E306" s="3">
        <v>1.0000000000000001E-32</v>
      </c>
      <c r="F306">
        <v>34.51</v>
      </c>
      <c r="G306" t="str">
        <f>HYPERLINK("https://www.ncbi.nlm.nih.gov/nucleotide/XM_018807475.1?report=genbank&amp;log$=nucltop&amp;blast_rank=99&amp;RID=GYV8V2Y2013","XM_018807475.1")</f>
        <v>XM_018807475.1</v>
      </c>
    </row>
    <row r="307" spans="1:7" x14ac:dyDescent="0.35">
      <c r="A307" t="s">
        <v>258</v>
      </c>
      <c r="B307">
        <v>141</v>
      </c>
      <c r="C307">
        <v>141</v>
      </c>
      <c r="D307" s="2">
        <v>0.95</v>
      </c>
      <c r="E307" s="3">
        <v>9.0000000000000008E-37</v>
      </c>
      <c r="F307">
        <v>33.33</v>
      </c>
      <c r="G307" t="str">
        <f>HYPERLINK("https://www.ncbi.nlm.nih.gov/nucleotide/XM_019169675.1?report=genbank&amp;log$=nucltop&amp;blast_rank=100&amp;RID=GYV8V2Y2013","XM_019169675.1")</f>
        <v>XM_019169675.1</v>
      </c>
    </row>
    <row r="308" spans="1:7" x14ac:dyDescent="0.35">
      <c r="A308" s="1" t="s">
        <v>841</v>
      </c>
    </row>
    <row r="309" spans="1:7" x14ac:dyDescent="0.35">
      <c r="A309" s="1" t="s">
        <v>923</v>
      </c>
    </row>
    <row r="310" spans="1:7" x14ac:dyDescent="0.35">
      <c r="A310" s="1" t="s">
        <v>2</v>
      </c>
      <c r="B310" s="1" t="s">
        <v>3</v>
      </c>
      <c r="C310" s="1" t="s">
        <v>4</v>
      </c>
      <c r="D310" s="1" t="s">
        <v>5</v>
      </c>
      <c r="E310" s="1" t="s">
        <v>6</v>
      </c>
      <c r="F310" s="1" t="s">
        <v>7</v>
      </c>
      <c r="G310" s="1" t="s">
        <v>8</v>
      </c>
    </row>
    <row r="311" spans="1:7" x14ac:dyDescent="0.35">
      <c r="A311" t="s">
        <v>19</v>
      </c>
      <c r="B311">
        <v>241</v>
      </c>
      <c r="C311">
        <v>241</v>
      </c>
      <c r="D311" s="2">
        <v>0.63</v>
      </c>
      <c r="E311" s="3">
        <v>2.9999999999999999E-78</v>
      </c>
      <c r="F311">
        <v>78.319999999999993</v>
      </c>
      <c r="G311" t="str">
        <f>HYPERLINK("https://www.ncbi.nlm.nih.gov/nucleotide/XM_001883016.1?report=genbank&amp;log$=nucltop&amp;blast_rank=1&amp;RID=GYS7GTZR013","XM_001883016.1")</f>
        <v>XM_001883016.1</v>
      </c>
    </row>
    <row r="312" spans="1:7" x14ac:dyDescent="0.35">
      <c r="A312" t="s">
        <v>636</v>
      </c>
      <c r="B312">
        <v>238</v>
      </c>
      <c r="C312">
        <v>238</v>
      </c>
      <c r="D312" s="2">
        <v>0.65</v>
      </c>
      <c r="E312" s="3">
        <v>1.9999999999999999E-74</v>
      </c>
      <c r="F312">
        <v>73.47</v>
      </c>
      <c r="G312" t="str">
        <f>HYPERLINK("https://www.ncbi.nlm.nih.gov/nucleotide/XM_007331503.1?report=genbank&amp;log$=nucltop&amp;blast_rank=2&amp;RID=GYS7GTZR013","XM_007331503.1")</f>
        <v>XM_007331503.1</v>
      </c>
    </row>
    <row r="313" spans="1:7" x14ac:dyDescent="0.35">
      <c r="A313" s="4" t="s">
        <v>842</v>
      </c>
      <c r="B313" s="4">
        <v>237</v>
      </c>
      <c r="C313" s="4">
        <v>237</v>
      </c>
      <c r="D313" s="5">
        <v>0.65</v>
      </c>
      <c r="E313" s="6">
        <v>1.9999999999999999E-74</v>
      </c>
      <c r="F313" s="4">
        <v>73.47</v>
      </c>
      <c r="G313" s="4" t="str">
        <f>HYPERLINK("https://www.ncbi.nlm.nih.gov/nucleotide/XM_041349092.1?report=genbank&amp;log$=nucltop&amp;blast_rank=3&amp;RID=GYS7GTZR013","XM_041349092.1")</f>
        <v>XM_041349092.1</v>
      </c>
    </row>
    <row r="314" spans="1:7" x14ac:dyDescent="0.35">
      <c r="A314" s="4" t="s">
        <v>843</v>
      </c>
      <c r="B314" s="4">
        <v>240</v>
      </c>
      <c r="C314" s="4">
        <v>240</v>
      </c>
      <c r="D314" s="5">
        <v>0.65</v>
      </c>
      <c r="E314" s="6">
        <v>6.0000000000000003E-73</v>
      </c>
      <c r="F314" s="4">
        <v>73.47</v>
      </c>
      <c r="G314" s="4" t="str">
        <f>HYPERLINK("https://www.ncbi.nlm.nih.gov/nucleotide/XM_041432885.1?report=genbank&amp;log$=nucltop&amp;blast_rank=4&amp;RID=GYS7GTZR013","XM_041432885.1")</f>
        <v>XM_041432885.1</v>
      </c>
    </row>
    <row r="315" spans="1:7" x14ac:dyDescent="0.35">
      <c r="A315" s="4" t="s">
        <v>844</v>
      </c>
      <c r="B315" s="4">
        <v>235</v>
      </c>
      <c r="C315" s="4">
        <v>235</v>
      </c>
      <c r="D315" s="5">
        <v>0.65</v>
      </c>
      <c r="E315" s="6">
        <v>6.0000000000000003E-71</v>
      </c>
      <c r="F315" s="4">
        <v>73.47</v>
      </c>
      <c r="G315" s="4" t="str">
        <f>HYPERLINK("https://www.ncbi.nlm.nih.gov/nucleotide/XM_041320396.1?report=genbank&amp;log$=nucltop&amp;blast_rank=5&amp;RID=GYS7GTZR013","XM_041320396.1")</f>
        <v>XM_041320396.1</v>
      </c>
    </row>
    <row r="316" spans="1:7" x14ac:dyDescent="0.35">
      <c r="A316" s="4" t="s">
        <v>845</v>
      </c>
      <c r="B316" s="4">
        <v>236</v>
      </c>
      <c r="C316" s="4">
        <v>236</v>
      </c>
      <c r="D316" s="5">
        <v>0.65</v>
      </c>
      <c r="E316" s="6">
        <v>8.9999999999999998E-74</v>
      </c>
      <c r="F316" s="4">
        <v>72.790000000000006</v>
      </c>
      <c r="G316" s="4" t="str">
        <f>HYPERLINK("https://www.ncbi.nlm.nih.gov/nucleotide/XM_041446972.1?report=genbank&amp;log$=nucltop&amp;blast_rank=6&amp;RID=GYS7GTZR013","XM_041446972.1")</f>
        <v>XM_041446972.1</v>
      </c>
    </row>
    <row r="317" spans="1:7" x14ac:dyDescent="0.35">
      <c r="A317" s="4" t="s">
        <v>846</v>
      </c>
      <c r="B317" s="4">
        <v>237</v>
      </c>
      <c r="C317" s="4">
        <v>237</v>
      </c>
      <c r="D317" s="5">
        <v>0.65</v>
      </c>
      <c r="E317" s="6">
        <v>2E-73</v>
      </c>
      <c r="F317" s="4">
        <v>72.790000000000006</v>
      </c>
      <c r="G317" s="4" t="str">
        <f>HYPERLINK("https://www.ncbi.nlm.nih.gov/nucleotide/XM_041342250.1?report=genbank&amp;log$=nucltop&amp;blast_rank=7&amp;RID=GYS7GTZR013","XM_041342250.1")</f>
        <v>XM_041342250.1</v>
      </c>
    </row>
    <row r="318" spans="1:7" x14ac:dyDescent="0.35">
      <c r="A318" s="4" t="s">
        <v>847</v>
      </c>
      <c r="B318" s="4">
        <v>236</v>
      </c>
      <c r="C318" s="4">
        <v>236</v>
      </c>
      <c r="D318" s="5">
        <v>0.65</v>
      </c>
      <c r="E318" s="6">
        <v>9.9999999999999997E-73</v>
      </c>
      <c r="F318" s="4">
        <v>72.790000000000006</v>
      </c>
      <c r="G318" s="4" t="str">
        <f>HYPERLINK("https://www.ncbi.nlm.nih.gov/nucleotide/XM_041391604.1?report=genbank&amp;log$=nucltop&amp;blast_rank=8&amp;RID=GYS7GTZR013","XM_041391604.1")</f>
        <v>XM_041391604.1</v>
      </c>
    </row>
    <row r="319" spans="1:7" x14ac:dyDescent="0.35">
      <c r="A319" s="4" t="s">
        <v>848</v>
      </c>
      <c r="B319" s="4">
        <v>237</v>
      </c>
      <c r="C319" s="4">
        <v>237</v>
      </c>
      <c r="D319" s="5">
        <v>0.65</v>
      </c>
      <c r="E319" s="6">
        <v>9.9999999999999997E-73</v>
      </c>
      <c r="F319" s="4">
        <v>72.790000000000006</v>
      </c>
      <c r="G319" s="4" t="str">
        <f>HYPERLINK("https://www.ncbi.nlm.nih.gov/nucleotide/XM_041373960.1?report=genbank&amp;log$=nucltop&amp;blast_rank=9&amp;RID=GYS7GTZR013","XM_041373960.1")</f>
        <v>XM_041373960.1</v>
      </c>
    </row>
    <row r="320" spans="1:7" x14ac:dyDescent="0.35">
      <c r="A320" t="s">
        <v>639</v>
      </c>
      <c r="B320">
        <v>235</v>
      </c>
      <c r="C320">
        <v>235</v>
      </c>
      <c r="D320" s="2">
        <v>0.65</v>
      </c>
      <c r="E320" s="3">
        <v>6.9999999999999995E-73</v>
      </c>
      <c r="F320">
        <v>72.599999999999994</v>
      </c>
      <c r="G320" t="str">
        <f>HYPERLINK("https://www.ncbi.nlm.nih.gov/nucleotide/XM_007319931.1?report=genbank&amp;log$=nucltop&amp;blast_rank=10&amp;RID=GYS7GTZR013","XM_007319931.1")</f>
        <v>XM_007319931.1</v>
      </c>
    </row>
    <row r="321" spans="1:7" x14ac:dyDescent="0.35">
      <c r="A321" t="s">
        <v>198</v>
      </c>
      <c r="B321">
        <v>236</v>
      </c>
      <c r="C321">
        <v>236</v>
      </c>
      <c r="D321" s="2">
        <v>0.65</v>
      </c>
      <c r="E321" s="3">
        <v>2E-73</v>
      </c>
      <c r="F321">
        <v>71.23</v>
      </c>
      <c r="G321" t="str">
        <f>HYPERLINK("https://www.ncbi.nlm.nih.gov/nucleotide/XM_007871867.1?report=genbank&amp;log$=nucltop&amp;blast_rank=11&amp;RID=GYS7GTZR013","XM_007871867.1")</f>
        <v>XM_007871867.1</v>
      </c>
    </row>
    <row r="322" spans="1:7" x14ac:dyDescent="0.35">
      <c r="A322" t="s">
        <v>21</v>
      </c>
      <c r="B322">
        <v>228</v>
      </c>
      <c r="C322">
        <v>228</v>
      </c>
      <c r="D322" s="2">
        <v>0.64</v>
      </c>
      <c r="E322" s="3">
        <v>4.9999999999999998E-73</v>
      </c>
      <c r="F322">
        <v>71.23</v>
      </c>
      <c r="G322" t="str">
        <f>HYPERLINK("https://www.ncbi.nlm.nih.gov/nucleotide/XM_009554521.1?report=genbank&amp;log$=nucltop&amp;blast_rank=12&amp;RID=GYS7GTZR013","XM_009554521.1")</f>
        <v>XM_009554521.1</v>
      </c>
    </row>
    <row r="323" spans="1:7" x14ac:dyDescent="0.35">
      <c r="A323" t="s">
        <v>126</v>
      </c>
      <c r="B323">
        <v>228</v>
      </c>
      <c r="C323">
        <v>228</v>
      </c>
      <c r="D323" s="2">
        <v>0.65</v>
      </c>
      <c r="E323" s="3">
        <v>9.9999999999999996E-70</v>
      </c>
      <c r="F323">
        <v>70.069999999999993</v>
      </c>
      <c r="G323" t="str">
        <f>HYPERLINK("https://www.ncbi.nlm.nih.gov/nucleotide/XM_007775845.1?report=genbank&amp;log$=nucltop&amp;blast_rank=13&amp;RID=GYS7GTZR013","XM_007775845.1")</f>
        <v>XM_007775845.1</v>
      </c>
    </row>
    <row r="324" spans="1:7" x14ac:dyDescent="0.35">
      <c r="A324" t="s">
        <v>637</v>
      </c>
      <c r="B324">
        <v>236</v>
      </c>
      <c r="C324">
        <v>236</v>
      </c>
      <c r="D324" s="2">
        <v>0.65</v>
      </c>
      <c r="E324" s="3">
        <v>1.9999999999999999E-74</v>
      </c>
      <c r="F324">
        <v>70</v>
      </c>
      <c r="G324" t="str">
        <f>HYPERLINK("https://www.ncbi.nlm.nih.gov/nucleotide/XM_037362762.1?report=genbank&amp;log$=nucltop&amp;blast_rank=14&amp;RID=GYS7GTZR013","XM_037362762.1")</f>
        <v>XM_037362762.1</v>
      </c>
    </row>
    <row r="325" spans="1:7" x14ac:dyDescent="0.35">
      <c r="A325" t="s">
        <v>643</v>
      </c>
      <c r="B325">
        <v>228</v>
      </c>
      <c r="C325">
        <v>228</v>
      </c>
      <c r="D325" s="2">
        <v>0.65</v>
      </c>
      <c r="E325" s="3">
        <v>6.0000000000000003E-71</v>
      </c>
      <c r="F325">
        <v>70</v>
      </c>
      <c r="G325" t="str">
        <f>HYPERLINK("https://www.ncbi.nlm.nih.gov/nucleotide/XM_006456081.1?report=genbank&amp;log$=nucltop&amp;blast_rank=15&amp;RID=GYS7GTZR013","XM_006456081.1")</f>
        <v>XM_006456081.1</v>
      </c>
    </row>
    <row r="326" spans="1:7" x14ac:dyDescent="0.35">
      <c r="A326" t="s">
        <v>849</v>
      </c>
      <c r="B326">
        <v>213</v>
      </c>
      <c r="C326">
        <v>213</v>
      </c>
      <c r="D326" s="2">
        <v>0.65</v>
      </c>
      <c r="E326" s="3">
        <v>1.9999999999999998E-65</v>
      </c>
      <c r="F326">
        <v>68.92</v>
      </c>
      <c r="G326" t="str">
        <f>HYPERLINK("https://www.ncbi.nlm.nih.gov/nucleotide/XM_040777268.1?report=genbank&amp;log$=nucltop&amp;blast_rank=16&amp;RID=GYS7GTZR013","XM_040777268.1")</f>
        <v>XM_040777268.1</v>
      </c>
    </row>
    <row r="327" spans="1:7" x14ac:dyDescent="0.35">
      <c r="A327" t="s">
        <v>641</v>
      </c>
      <c r="B327">
        <v>232</v>
      </c>
      <c r="C327">
        <v>232</v>
      </c>
      <c r="D327" s="2">
        <v>0.72</v>
      </c>
      <c r="E327" s="3">
        <v>9.9999999999999997E-73</v>
      </c>
      <c r="F327">
        <v>66.87</v>
      </c>
      <c r="G327" t="str">
        <f>HYPERLINK("https://www.ncbi.nlm.nih.gov/nucleotide/XM_024482046.1?report=genbank&amp;log$=nucltop&amp;blast_rank=17&amp;RID=GYS7GTZR013","XM_024482046.1")</f>
        <v>XM_024482046.1</v>
      </c>
    </row>
    <row r="328" spans="1:7" x14ac:dyDescent="0.35">
      <c r="A328" t="s">
        <v>640</v>
      </c>
      <c r="B328">
        <v>239</v>
      </c>
      <c r="C328">
        <v>239</v>
      </c>
      <c r="D328" s="2">
        <v>0.77</v>
      </c>
      <c r="E328" s="3">
        <v>4E-73</v>
      </c>
      <c r="F328">
        <v>66.28</v>
      </c>
      <c r="G328" t="str">
        <f>HYPERLINK("https://www.ncbi.nlm.nih.gov/nucleotide/XM_007370223.1?report=genbank&amp;log$=nucltop&amp;blast_rank=18&amp;RID=GYS7GTZR013","XM_007370223.1")</f>
        <v>XM_007370223.1</v>
      </c>
    </row>
    <row r="329" spans="1:7" x14ac:dyDescent="0.35">
      <c r="A329" t="s">
        <v>850</v>
      </c>
      <c r="B329">
        <v>219</v>
      </c>
      <c r="C329">
        <v>219</v>
      </c>
      <c r="D329" s="2">
        <v>0.65</v>
      </c>
      <c r="E329" s="3">
        <v>1.9999999999999999E-67</v>
      </c>
      <c r="F329">
        <v>66.23</v>
      </c>
      <c r="G329" t="str">
        <f>HYPERLINK("https://www.ncbi.nlm.nih.gov/nucleotide/XM_041297845.1?report=genbank&amp;log$=nucltop&amp;blast_rank=19&amp;RID=GYS7GTZR013","XM_041297845.1")</f>
        <v>XM_041297845.1</v>
      </c>
    </row>
    <row r="330" spans="1:7" x14ac:dyDescent="0.35">
      <c r="A330" t="s">
        <v>647</v>
      </c>
      <c r="B330">
        <v>202</v>
      </c>
      <c r="C330">
        <v>202</v>
      </c>
      <c r="D330" s="2">
        <v>0.61</v>
      </c>
      <c r="E330" s="3">
        <v>9.0000000000000002E-59</v>
      </c>
      <c r="F330">
        <v>65.94</v>
      </c>
      <c r="G330" t="str">
        <f>HYPERLINK("https://www.ncbi.nlm.nih.gov/nucleotide/XM_039055562.1?report=genbank&amp;log$=nucltop&amp;blast_rank=20&amp;RID=GYS7GTZR013","XM_039055562.1")</f>
        <v>XM_039055562.1</v>
      </c>
    </row>
    <row r="331" spans="1:7" x14ac:dyDescent="0.35">
      <c r="A331" t="s">
        <v>644</v>
      </c>
      <c r="B331">
        <v>220</v>
      </c>
      <c r="C331">
        <v>220</v>
      </c>
      <c r="D331" s="2">
        <v>0.74</v>
      </c>
      <c r="E331" s="3">
        <v>9.9999999999999994E-68</v>
      </c>
      <c r="F331">
        <v>65.66</v>
      </c>
      <c r="G331" t="str">
        <f>HYPERLINK("https://www.ncbi.nlm.nih.gov/nucleotide/XM_003028301.1?report=genbank&amp;log$=nucltop&amp;blast_rank=21&amp;RID=GYS7GTZR013","XM_003028301.1")</f>
        <v>XM_003028301.1</v>
      </c>
    </row>
    <row r="332" spans="1:7" x14ac:dyDescent="0.35">
      <c r="A332" t="s">
        <v>645</v>
      </c>
      <c r="B332">
        <v>212</v>
      </c>
      <c r="C332">
        <v>212</v>
      </c>
      <c r="D332" s="2">
        <v>0.64</v>
      </c>
      <c r="E332" s="3">
        <v>2.0000000000000001E-63</v>
      </c>
      <c r="F332">
        <v>65.13</v>
      </c>
      <c r="G332" t="str">
        <f>HYPERLINK("https://www.ncbi.nlm.nih.gov/nucleotide/XM_007380545.1?report=genbank&amp;log$=nucltop&amp;blast_rank=22&amp;RID=GYS7GTZR013","XM_007380545.1")</f>
        <v>XM_007380545.1</v>
      </c>
    </row>
    <row r="333" spans="1:7" x14ac:dyDescent="0.35">
      <c r="A333" t="s">
        <v>646</v>
      </c>
      <c r="B333">
        <v>204</v>
      </c>
      <c r="C333">
        <v>204</v>
      </c>
      <c r="D333" s="2">
        <v>0.76</v>
      </c>
      <c r="E333" s="3">
        <v>4.9999999999999999E-61</v>
      </c>
      <c r="F333">
        <v>62.35</v>
      </c>
      <c r="G333" t="str">
        <f>HYPERLINK("https://www.ncbi.nlm.nih.gov/nucleotide/XM_007262411.1?report=genbank&amp;log$=nucltop&amp;blast_rank=23&amp;RID=GYS7GTZR013","XM_007262411.1")</f>
        <v>XM_007262411.1</v>
      </c>
    </row>
    <row r="334" spans="1:7" x14ac:dyDescent="0.35">
      <c r="A334" s="4" t="s">
        <v>662</v>
      </c>
      <c r="B334" s="4">
        <v>191</v>
      </c>
      <c r="C334" s="4">
        <v>191</v>
      </c>
      <c r="D334" s="5">
        <v>0.65</v>
      </c>
      <c r="E334" s="6">
        <v>2.0000000000000001E-54</v>
      </c>
      <c r="F334" s="4">
        <v>61.9</v>
      </c>
      <c r="G334" s="4" t="str">
        <f>HYPERLINK("https://www.ncbi.nlm.nih.gov/nucleotide/XM_012193914.1?report=genbank&amp;log$=nucltop&amp;blast_rank=24&amp;RID=GYS7GTZR013","XM_012193914.1")</f>
        <v>XM_012193914.1</v>
      </c>
    </row>
    <row r="335" spans="1:7" x14ac:dyDescent="0.35">
      <c r="A335" t="s">
        <v>37</v>
      </c>
      <c r="B335">
        <v>199</v>
      </c>
      <c r="C335">
        <v>394</v>
      </c>
      <c r="D335" s="2">
        <v>0.95</v>
      </c>
      <c r="E335" s="3">
        <v>2.0000000000000001E-54</v>
      </c>
      <c r="F335">
        <v>61.65</v>
      </c>
      <c r="G335" t="str">
        <f>HYPERLINK("https://www.ncbi.nlm.nih.gov/nucleotide/LR732085.1?report=genbank&amp;log$=nucltop&amp;blast_rank=25&amp;RID=GYS7GTZR013","LR732085.1")</f>
        <v>LR732085.1</v>
      </c>
    </row>
    <row r="336" spans="1:7" x14ac:dyDescent="0.35">
      <c r="A336" t="s">
        <v>653</v>
      </c>
      <c r="B336">
        <v>190</v>
      </c>
      <c r="C336">
        <v>190</v>
      </c>
      <c r="D336" s="2">
        <v>0.65</v>
      </c>
      <c r="E336" s="3">
        <v>2.0000000000000001E-56</v>
      </c>
      <c r="F336">
        <v>61.22</v>
      </c>
      <c r="G336" t="str">
        <f>HYPERLINK("https://www.ncbi.nlm.nih.gov/nucleotide/XM_770602.1?report=genbank&amp;log$=nucltop&amp;blast_rank=26&amp;RID=GYS7GTZR013","XM_770602.1")</f>
        <v>XM_770602.1</v>
      </c>
    </row>
    <row r="337" spans="1:7" x14ac:dyDescent="0.35">
      <c r="A337" t="s">
        <v>661</v>
      </c>
      <c r="B337">
        <v>189</v>
      </c>
      <c r="C337">
        <v>189</v>
      </c>
      <c r="D337" s="2">
        <v>0.65</v>
      </c>
      <c r="E337" s="3">
        <v>7.0000000000000005E-55</v>
      </c>
      <c r="F337">
        <v>61.22</v>
      </c>
      <c r="G337" t="str">
        <f>HYPERLINK("https://www.ncbi.nlm.nih.gov/nucleotide/XM_570451.2?report=genbank&amp;log$=nucltop&amp;blast_rank=27&amp;RID=GYS7GTZR013","XM_570451.2")</f>
        <v>XM_570451.2</v>
      </c>
    </row>
    <row r="338" spans="1:7" x14ac:dyDescent="0.35">
      <c r="A338" t="s">
        <v>650</v>
      </c>
      <c r="B338">
        <v>194</v>
      </c>
      <c r="C338">
        <v>194</v>
      </c>
      <c r="D338" s="2">
        <v>0.65</v>
      </c>
      <c r="E338" s="3">
        <v>1.9999999999999999E-57</v>
      </c>
      <c r="F338">
        <v>60.81</v>
      </c>
      <c r="G338" t="str">
        <f>HYPERLINK("https://www.ncbi.nlm.nih.gov/nucleotide/XM_019141502.1?report=genbank&amp;log$=nucltop&amp;blast_rank=28&amp;RID=GYS7GTZR013","XM_019141502.1")</f>
        <v>XM_019141502.1</v>
      </c>
    </row>
    <row r="339" spans="1:7" x14ac:dyDescent="0.35">
      <c r="A339" s="4" t="s">
        <v>656</v>
      </c>
      <c r="B339" s="4">
        <v>190</v>
      </c>
      <c r="C339" s="4">
        <v>190</v>
      </c>
      <c r="D339" s="5">
        <v>0.65</v>
      </c>
      <c r="E339" s="6">
        <v>2.0000000000000001E-56</v>
      </c>
      <c r="F339" s="4">
        <v>60.81</v>
      </c>
      <c r="G339" s="4" t="str">
        <f>HYPERLINK("https://www.ncbi.nlm.nih.gov/nucleotide/XM_003193544.1?report=genbank&amp;log$=nucltop&amp;blast_rank=29&amp;RID=GYS7GTZR013","XM_003193544.1")</f>
        <v>XM_003193544.1</v>
      </c>
    </row>
    <row r="340" spans="1:7" x14ac:dyDescent="0.35">
      <c r="A340" t="s">
        <v>651</v>
      </c>
      <c r="B340">
        <v>199</v>
      </c>
      <c r="C340">
        <v>199</v>
      </c>
      <c r="D340" s="2">
        <v>0.65</v>
      </c>
      <c r="E340" s="3">
        <v>9.0000000000000002E-59</v>
      </c>
      <c r="F340">
        <v>60.54</v>
      </c>
      <c r="G340" t="str">
        <f>HYPERLINK("https://www.ncbi.nlm.nih.gov/nucleotide/XM_018421762.1?report=genbank&amp;log$=nucltop&amp;blast_rank=30&amp;RID=GYS7GTZR013","XM_018421762.1")</f>
        <v>XM_018421762.1</v>
      </c>
    </row>
    <row r="341" spans="1:7" x14ac:dyDescent="0.35">
      <c r="A341" s="4" t="s">
        <v>655</v>
      </c>
      <c r="B341" s="4">
        <v>187</v>
      </c>
      <c r="C341" s="4">
        <v>187</v>
      </c>
      <c r="D341" s="5">
        <v>0.65</v>
      </c>
      <c r="E341" s="6">
        <v>5.0000000000000002E-55</v>
      </c>
      <c r="F341" s="4">
        <v>58.94</v>
      </c>
      <c r="G341" s="4" t="str">
        <f>HYPERLINK("https://www.ncbi.nlm.nih.gov/nucleotide/XM_019176525.1?report=genbank&amp;log$=nucltop&amp;blast_rank=31&amp;RID=GYS7GTZR013","XM_019176525.1")</f>
        <v>XM_019176525.1</v>
      </c>
    </row>
    <row r="342" spans="1:7" x14ac:dyDescent="0.35">
      <c r="A342" t="s">
        <v>649</v>
      </c>
      <c r="B342">
        <v>192</v>
      </c>
      <c r="C342">
        <v>192</v>
      </c>
      <c r="D342" s="2">
        <v>0.65</v>
      </c>
      <c r="E342" s="3">
        <v>6E-57</v>
      </c>
      <c r="F342">
        <v>58.9</v>
      </c>
      <c r="G342" t="str">
        <f>HYPERLINK("https://www.ncbi.nlm.nih.gov/nucleotide/XM_028616908.1?report=genbank&amp;log$=nucltop&amp;blast_rank=32&amp;RID=GYS7GTZR013","XM_028616908.1")</f>
        <v>XM_028616908.1</v>
      </c>
    </row>
    <row r="343" spans="1:7" x14ac:dyDescent="0.35">
      <c r="A343" s="4" t="s">
        <v>658</v>
      </c>
      <c r="B343" s="4">
        <v>188</v>
      </c>
      <c r="C343" s="4">
        <v>188</v>
      </c>
      <c r="D343" s="5">
        <v>0.65</v>
      </c>
      <c r="E343" s="6">
        <v>2E-55</v>
      </c>
      <c r="F343" s="4">
        <v>58.9</v>
      </c>
      <c r="G343" s="4" t="str">
        <f>HYPERLINK("https://www.ncbi.nlm.nih.gov/nucleotide/XM_019146799.1?report=genbank&amp;log$=nucltop&amp;blast_rank=33&amp;RID=GYS7GTZR013","XM_019146799.1")</f>
        <v>XM_019146799.1</v>
      </c>
    </row>
    <row r="344" spans="1:7" x14ac:dyDescent="0.35">
      <c r="A344" t="s">
        <v>652</v>
      </c>
      <c r="B344">
        <v>188</v>
      </c>
      <c r="C344">
        <v>188</v>
      </c>
      <c r="D344" s="2">
        <v>0.64</v>
      </c>
      <c r="E344" s="3">
        <v>3.0000000000000002E-55</v>
      </c>
      <c r="F344">
        <v>58.62</v>
      </c>
      <c r="G344" t="str">
        <f>HYPERLINK("https://www.ncbi.nlm.nih.gov/nucleotide/XM_032001229.1?report=genbank&amp;log$=nucltop&amp;blast_rank=34&amp;RID=GYS7GTZR013","XM_032001229.1")</f>
        <v>XM_032001229.1</v>
      </c>
    </row>
    <row r="345" spans="1:7" x14ac:dyDescent="0.35">
      <c r="A345" s="4" t="s">
        <v>654</v>
      </c>
      <c r="B345" s="4">
        <v>188</v>
      </c>
      <c r="C345" s="4">
        <v>188</v>
      </c>
      <c r="D345" s="5">
        <v>0.65</v>
      </c>
      <c r="E345" s="6">
        <v>4E-55</v>
      </c>
      <c r="F345" s="4">
        <v>58.22</v>
      </c>
      <c r="G345" s="4" t="str">
        <f>HYPERLINK("https://www.ncbi.nlm.nih.gov/nucleotide/XM_019153916.1?report=genbank&amp;log$=nucltop&amp;blast_rank=35&amp;RID=GYS7GTZR013","XM_019153916.1")</f>
        <v>XM_019153916.1</v>
      </c>
    </row>
    <row r="346" spans="1:7" x14ac:dyDescent="0.35">
      <c r="A346" s="4" t="s">
        <v>659</v>
      </c>
      <c r="B346" s="4">
        <v>187</v>
      </c>
      <c r="C346" s="4">
        <v>187</v>
      </c>
      <c r="D346" s="5">
        <v>0.65</v>
      </c>
      <c r="E346" s="6">
        <v>4E-55</v>
      </c>
      <c r="F346" s="4">
        <v>58.22</v>
      </c>
      <c r="G346" s="4" t="str">
        <f>HYPERLINK("https://www.ncbi.nlm.nih.gov/nucleotide/XM_019192754.1?report=genbank&amp;log$=nucltop&amp;blast_rank=36&amp;RID=GYS7GTZR013","XM_019192754.1")</f>
        <v>XM_019192754.1</v>
      </c>
    </row>
    <row r="347" spans="1:7" x14ac:dyDescent="0.35">
      <c r="A347" s="4" t="s">
        <v>657</v>
      </c>
      <c r="B347" s="4">
        <v>188</v>
      </c>
      <c r="C347" s="4">
        <v>188</v>
      </c>
      <c r="D347" s="5">
        <v>0.65</v>
      </c>
      <c r="E347" s="6">
        <v>6.0000000000000003E-55</v>
      </c>
      <c r="F347" s="4">
        <v>58.22</v>
      </c>
      <c r="G347" s="4" t="str">
        <f>HYPERLINK("https://www.ncbi.nlm.nih.gov/nucleotide/XM_018408792.1?report=genbank&amp;log$=nucltop&amp;blast_rank=37&amp;RID=GYS7GTZR013","XM_018408792.1")</f>
        <v>XM_018408792.1</v>
      </c>
    </row>
    <row r="348" spans="1:7" x14ac:dyDescent="0.35">
      <c r="A348" s="4" t="s">
        <v>672</v>
      </c>
      <c r="B348" s="4">
        <v>175</v>
      </c>
      <c r="C348" s="4">
        <v>175</v>
      </c>
      <c r="D348" s="5">
        <v>0.64</v>
      </c>
      <c r="E348" s="6">
        <v>3.9999999999999999E-48</v>
      </c>
      <c r="F348" s="4">
        <v>57.24</v>
      </c>
      <c r="G348" s="4" t="str">
        <f>HYPERLINK("https://www.ncbi.nlm.nih.gov/nucleotide/XM_018795126.1?report=genbank&amp;log$=nucltop&amp;blast_rank=38&amp;RID=GYS7GTZR013","XM_018795126.1")</f>
        <v>XM_018795126.1</v>
      </c>
    </row>
    <row r="349" spans="1:7" x14ac:dyDescent="0.35">
      <c r="A349" t="s">
        <v>674</v>
      </c>
      <c r="B349">
        <v>175</v>
      </c>
      <c r="C349">
        <v>175</v>
      </c>
      <c r="D349" s="2">
        <v>0.64</v>
      </c>
      <c r="E349" s="3">
        <v>4.9999999999999999E-48</v>
      </c>
      <c r="F349">
        <v>57.24</v>
      </c>
      <c r="G349" t="str">
        <f>HYPERLINK("https://www.ncbi.nlm.nih.gov/nucleotide/AY814691.2?report=genbank&amp;log$=nucltop&amp;blast_rank=39&amp;RID=GYS7GTZR013","AY814691.2")</f>
        <v>AY814691.2</v>
      </c>
    </row>
    <row r="350" spans="1:7" x14ac:dyDescent="0.35">
      <c r="A350" s="4" t="s">
        <v>660</v>
      </c>
      <c r="B350" s="4">
        <v>189</v>
      </c>
      <c r="C350" s="4">
        <v>189</v>
      </c>
      <c r="D350" s="5">
        <v>0.65</v>
      </c>
      <c r="E350" s="6">
        <v>8.0000000000000002E-54</v>
      </c>
      <c r="F350" s="4">
        <v>56.85</v>
      </c>
      <c r="G350" s="4" t="str">
        <f>HYPERLINK("https://www.ncbi.nlm.nih.gov/nucleotide/XM_022013753.1?report=genbank&amp;log$=nucltop&amp;blast_rank=40&amp;RID=GYS7GTZR013","XM_022013753.1")</f>
        <v>XM_022013753.1</v>
      </c>
    </row>
    <row r="351" spans="1:7" x14ac:dyDescent="0.35">
      <c r="A351" t="s">
        <v>664</v>
      </c>
      <c r="B351">
        <v>173</v>
      </c>
      <c r="C351">
        <v>173</v>
      </c>
      <c r="D351" s="2">
        <v>0.65</v>
      </c>
      <c r="E351" s="3">
        <v>2E-50</v>
      </c>
      <c r="F351">
        <v>56.85</v>
      </c>
      <c r="G351" t="str">
        <f>HYPERLINK("https://www.ncbi.nlm.nih.gov/nucleotide/AY811864.1?report=genbank&amp;log$=nucltop&amp;blast_rank=41&amp;RID=GYS7GTZR013","AY811864.1")</f>
        <v>AY811864.1</v>
      </c>
    </row>
    <row r="352" spans="1:7" x14ac:dyDescent="0.35">
      <c r="A352" t="s">
        <v>669</v>
      </c>
      <c r="B352">
        <v>174</v>
      </c>
      <c r="C352">
        <v>174</v>
      </c>
      <c r="D352" s="2">
        <v>0.65</v>
      </c>
      <c r="E352" s="3">
        <v>9.9999999999999997E-49</v>
      </c>
      <c r="F352">
        <v>56.08</v>
      </c>
      <c r="G352" t="str">
        <f>HYPERLINK("https://www.ncbi.nlm.nih.gov/nucleotide/XM_007407781.1?report=genbank&amp;log$=nucltop&amp;blast_rank=42&amp;RID=GYS7GTZR013","XM_007407781.1")</f>
        <v>XM_007407781.1</v>
      </c>
    </row>
    <row r="353" spans="1:7" x14ac:dyDescent="0.35">
      <c r="A353" t="s">
        <v>120</v>
      </c>
      <c r="B353">
        <v>244</v>
      </c>
      <c r="C353">
        <v>244</v>
      </c>
      <c r="D353" s="2">
        <v>0.99</v>
      </c>
      <c r="E353" s="3">
        <v>3.0000000000000002E-77</v>
      </c>
      <c r="F353">
        <v>55.19</v>
      </c>
      <c r="G353" t="str">
        <f>HYPERLINK("https://www.ncbi.nlm.nih.gov/nucleotide/XM_012330422.1?report=genbank&amp;log$=nucltop&amp;blast_rank=43&amp;RID=GYS7GTZR013","XM_012330422.1")</f>
        <v>XM_012330422.1</v>
      </c>
    </row>
    <row r="354" spans="1:7" x14ac:dyDescent="0.35">
      <c r="A354" t="s">
        <v>666</v>
      </c>
      <c r="B354">
        <v>174</v>
      </c>
      <c r="C354">
        <v>174</v>
      </c>
      <c r="D354" s="2">
        <v>0.65</v>
      </c>
      <c r="E354" s="3">
        <v>1E-50</v>
      </c>
      <c r="F354">
        <v>54.73</v>
      </c>
      <c r="G354" t="str">
        <f>HYPERLINK("https://www.ncbi.nlm.nih.gov/nucleotide/XM_018413255.1?report=genbank&amp;log$=nucltop&amp;blast_rank=44&amp;RID=GYS7GTZR013","XM_018413255.1")</f>
        <v>XM_018413255.1</v>
      </c>
    </row>
    <row r="355" spans="1:7" x14ac:dyDescent="0.35">
      <c r="A355" t="s">
        <v>667</v>
      </c>
      <c r="B355">
        <v>169</v>
      </c>
      <c r="C355">
        <v>169</v>
      </c>
      <c r="D355" s="2">
        <v>0.64</v>
      </c>
      <c r="E355" s="3">
        <v>1.9999999999999999E-48</v>
      </c>
      <c r="F355">
        <v>54.48</v>
      </c>
      <c r="G355" t="str">
        <f>HYPERLINK("https://www.ncbi.nlm.nih.gov/nucleotide/XM_037213207.1?report=genbank&amp;log$=nucltop&amp;blast_rank=45&amp;RID=GYS7GTZR013","XM_037213207.1")</f>
        <v>XM_037213207.1</v>
      </c>
    </row>
    <row r="356" spans="1:7" x14ac:dyDescent="0.35">
      <c r="A356" t="s">
        <v>670</v>
      </c>
      <c r="B356">
        <v>169</v>
      </c>
      <c r="C356">
        <v>169</v>
      </c>
      <c r="D356" s="2">
        <v>0.64</v>
      </c>
      <c r="E356" s="3">
        <v>3.9999999999999999E-48</v>
      </c>
      <c r="F356">
        <v>54.48</v>
      </c>
      <c r="G356" t="str">
        <f>HYPERLINK("https://www.ncbi.nlm.nih.gov/nucleotide/XM_037212086.1?report=genbank&amp;log$=nucltop&amp;blast_rank=46&amp;RID=GYS7GTZR013","XM_037212086.1")</f>
        <v>XM_037212086.1</v>
      </c>
    </row>
    <row r="357" spans="1:7" x14ac:dyDescent="0.35">
      <c r="A357" t="s">
        <v>671</v>
      </c>
      <c r="B357">
        <v>169</v>
      </c>
      <c r="C357">
        <v>169</v>
      </c>
      <c r="D357" s="2">
        <v>0.64</v>
      </c>
      <c r="E357" s="3">
        <v>3.9999999999999999E-48</v>
      </c>
      <c r="F357">
        <v>54.48</v>
      </c>
      <c r="G357" t="str">
        <f>HYPERLINK("https://www.ncbi.nlm.nih.gov/nucleotide/XM_037212087.1?report=genbank&amp;log$=nucltop&amp;blast_rank=47&amp;RID=GYS7GTZR013","XM_037212087.1")</f>
        <v>XM_037212087.1</v>
      </c>
    </row>
    <row r="358" spans="1:7" x14ac:dyDescent="0.35">
      <c r="A358" t="s">
        <v>668</v>
      </c>
      <c r="B358">
        <v>169</v>
      </c>
      <c r="C358">
        <v>169</v>
      </c>
      <c r="D358" s="2">
        <v>0.64</v>
      </c>
      <c r="E358" s="3">
        <v>4.9999999999999999E-48</v>
      </c>
      <c r="F358">
        <v>54.48</v>
      </c>
      <c r="G358" t="str">
        <f>HYPERLINK("https://www.ncbi.nlm.nih.gov/nucleotide/XM_037212088.1?report=genbank&amp;log$=nucltop&amp;blast_rank=48&amp;RID=GYS7GTZR013","XM_037212088.1")</f>
        <v>XM_037212088.1</v>
      </c>
    </row>
    <row r="359" spans="1:7" x14ac:dyDescent="0.35">
      <c r="A359" t="s">
        <v>696</v>
      </c>
      <c r="B359">
        <v>167</v>
      </c>
      <c r="C359">
        <v>167</v>
      </c>
      <c r="D359" s="2">
        <v>0.64</v>
      </c>
      <c r="E359" s="3">
        <v>3.0000000000000002E-47</v>
      </c>
      <c r="F359">
        <v>53.79</v>
      </c>
      <c r="G359" t="str">
        <f>HYPERLINK("https://www.ncbi.nlm.nih.gov/nucleotide/NM_001304084.1?report=genbank&amp;log$=nucltop&amp;blast_rank=49&amp;RID=GYS7GTZR013","NM_001304084.1")</f>
        <v>NM_001304084.1</v>
      </c>
    </row>
    <row r="360" spans="1:7" x14ac:dyDescent="0.35">
      <c r="A360" t="s">
        <v>701</v>
      </c>
      <c r="B360">
        <v>167</v>
      </c>
      <c r="C360">
        <v>167</v>
      </c>
      <c r="D360" s="2">
        <v>0.64</v>
      </c>
      <c r="E360" s="3">
        <v>3.0000000000000002E-47</v>
      </c>
      <c r="F360">
        <v>53.79</v>
      </c>
      <c r="G360" t="str">
        <f>HYPERLINK("https://www.ncbi.nlm.nih.gov/nucleotide/BT079919.1?report=genbank&amp;log$=nucltop&amp;blast_rank=50&amp;RID=GYS7GTZR013","BT079919.1")</f>
        <v>BT079919.1</v>
      </c>
    </row>
    <row r="361" spans="1:7" x14ac:dyDescent="0.35">
      <c r="A361" t="s">
        <v>638</v>
      </c>
      <c r="B361">
        <v>248</v>
      </c>
      <c r="C361">
        <v>248</v>
      </c>
      <c r="D361" s="2">
        <v>0.99</v>
      </c>
      <c r="E361" s="3">
        <v>5E-79</v>
      </c>
      <c r="F361">
        <v>53.67</v>
      </c>
      <c r="G361" t="str">
        <f>HYPERLINK("https://www.ncbi.nlm.nih.gov/nucleotide/XM_036771546.1?report=genbank&amp;log$=nucltop&amp;blast_rank=51&amp;RID=GYS7GTZR013","XM_036771546.1")</f>
        <v>XM_036771546.1</v>
      </c>
    </row>
    <row r="362" spans="1:7" x14ac:dyDescent="0.35">
      <c r="A362" t="s">
        <v>648</v>
      </c>
      <c r="B362">
        <v>199</v>
      </c>
      <c r="C362">
        <v>199</v>
      </c>
      <c r="D362" s="2">
        <v>0.64</v>
      </c>
      <c r="E362" s="3">
        <v>6.9999999999999998E-57</v>
      </c>
      <c r="F362">
        <v>53.37</v>
      </c>
      <c r="G362" t="str">
        <f>HYPERLINK("https://www.ncbi.nlm.nih.gov/nucleotide/XM_007306985.1?report=genbank&amp;log$=nucltop&amp;blast_rank=52&amp;RID=GYS7GTZR013","XM_007306985.1")</f>
        <v>XM_007306985.1</v>
      </c>
    </row>
    <row r="363" spans="1:7" x14ac:dyDescent="0.35">
      <c r="A363" t="s">
        <v>642</v>
      </c>
      <c r="B363">
        <v>234</v>
      </c>
      <c r="C363">
        <v>234</v>
      </c>
      <c r="D363" s="2">
        <v>0.99</v>
      </c>
      <c r="E363" s="3">
        <v>3.9999999999999997E-71</v>
      </c>
      <c r="F363">
        <v>53.12</v>
      </c>
      <c r="G363" t="str">
        <f>HYPERLINK("https://www.ncbi.nlm.nih.gov/nucleotide/XM_007397641.1?report=genbank&amp;log$=nucltop&amp;blast_rank=53&amp;RID=GYS7GTZR013","XM_007397641.1")</f>
        <v>XM_007397641.1</v>
      </c>
    </row>
    <row r="364" spans="1:7" x14ac:dyDescent="0.35">
      <c r="A364" t="s">
        <v>678</v>
      </c>
      <c r="B364">
        <v>167</v>
      </c>
      <c r="C364">
        <v>167</v>
      </c>
      <c r="D364" s="2">
        <v>0.64</v>
      </c>
      <c r="E364" s="3">
        <v>9.9999999999999997E-48</v>
      </c>
      <c r="F364">
        <v>53.1</v>
      </c>
      <c r="G364" t="str">
        <f>HYPERLINK("https://www.ncbi.nlm.nih.gov/nucleotide/XM_029504171.1?report=genbank&amp;log$=nucltop&amp;blast_rank=54&amp;RID=GYS7GTZR013","XM_029504171.1")</f>
        <v>XM_029504171.1</v>
      </c>
    </row>
    <row r="365" spans="1:7" x14ac:dyDescent="0.35">
      <c r="A365" t="s">
        <v>851</v>
      </c>
      <c r="B365">
        <v>167</v>
      </c>
      <c r="C365">
        <v>167</v>
      </c>
      <c r="D365" s="2">
        <v>0.64</v>
      </c>
      <c r="E365" s="3">
        <v>1.9999999999999999E-47</v>
      </c>
      <c r="F365">
        <v>53.1</v>
      </c>
      <c r="G365" t="str">
        <f>HYPERLINK("https://www.ncbi.nlm.nih.gov/nucleotide/XM_040118417.1?report=genbank&amp;log$=nucltop&amp;blast_rank=55&amp;RID=GYS7GTZR013","XM_040118417.1")</f>
        <v>XM_040118417.1</v>
      </c>
    </row>
    <row r="366" spans="1:7" x14ac:dyDescent="0.35">
      <c r="A366" t="s">
        <v>852</v>
      </c>
      <c r="B366">
        <v>167</v>
      </c>
      <c r="C366">
        <v>167</v>
      </c>
      <c r="D366" s="2">
        <v>0.64</v>
      </c>
      <c r="E366" s="3">
        <v>1.9999999999999999E-47</v>
      </c>
      <c r="F366">
        <v>53.1</v>
      </c>
      <c r="G366" t="str">
        <f>HYPERLINK("https://www.ncbi.nlm.nih.gov/nucleotide/XM_041874097.1?report=genbank&amp;log$=nucltop&amp;blast_rank=56&amp;RID=GYS7GTZR013","XM_041874097.1")</f>
        <v>XM_041874097.1</v>
      </c>
    </row>
    <row r="367" spans="1:7" x14ac:dyDescent="0.35">
      <c r="A367" t="s">
        <v>853</v>
      </c>
      <c r="B367">
        <v>167</v>
      </c>
      <c r="C367">
        <v>167</v>
      </c>
      <c r="D367" s="2">
        <v>0.64</v>
      </c>
      <c r="E367" s="3">
        <v>1.9999999999999999E-47</v>
      </c>
      <c r="F367">
        <v>53.1</v>
      </c>
      <c r="G367" t="str">
        <f>HYPERLINK("https://www.ncbi.nlm.nih.gov/nucleotide/XM_041942239.1?report=genbank&amp;log$=nucltop&amp;blast_rank=57&amp;RID=GYS7GTZR013","XM_041942239.1")</f>
        <v>XM_041942239.1</v>
      </c>
    </row>
    <row r="368" spans="1:7" x14ac:dyDescent="0.35">
      <c r="A368" t="s">
        <v>687</v>
      </c>
      <c r="B368">
        <v>167</v>
      </c>
      <c r="C368">
        <v>167</v>
      </c>
      <c r="D368" s="2">
        <v>0.64</v>
      </c>
      <c r="E368" s="3">
        <v>1.9999999999999999E-47</v>
      </c>
      <c r="F368">
        <v>53.1</v>
      </c>
      <c r="G368" t="str">
        <f>HYPERLINK("https://www.ncbi.nlm.nih.gov/nucleotide/XM_027287284.1?report=genbank&amp;log$=nucltop&amp;blast_rank=58&amp;RID=GYS7GTZR013","XM_027287284.1")</f>
        <v>XM_027287284.1</v>
      </c>
    </row>
    <row r="369" spans="1:7" x14ac:dyDescent="0.35">
      <c r="A369" t="s">
        <v>688</v>
      </c>
      <c r="B369">
        <v>167</v>
      </c>
      <c r="C369">
        <v>167</v>
      </c>
      <c r="D369" s="2">
        <v>0.64</v>
      </c>
      <c r="E369" s="3">
        <v>1.9999999999999999E-47</v>
      </c>
      <c r="F369">
        <v>53.1</v>
      </c>
      <c r="G369" t="str">
        <f>HYPERLINK("https://www.ncbi.nlm.nih.gov/nucleotide/XM_022765801.1?report=genbank&amp;log$=nucltop&amp;blast_rank=59&amp;RID=GYS7GTZR013","XM_022765801.1")</f>
        <v>XM_022765801.1</v>
      </c>
    </row>
    <row r="370" spans="1:7" x14ac:dyDescent="0.35">
      <c r="A370" t="s">
        <v>694</v>
      </c>
      <c r="B370">
        <v>167</v>
      </c>
      <c r="C370">
        <v>167</v>
      </c>
      <c r="D370" s="2">
        <v>0.64</v>
      </c>
      <c r="E370" s="3">
        <v>1.9999999999999999E-47</v>
      </c>
      <c r="F370">
        <v>53.1</v>
      </c>
      <c r="G370" t="str">
        <f>HYPERLINK("https://www.ncbi.nlm.nih.gov/nucleotide/BT057192.1?report=genbank&amp;log$=nucltop&amp;blast_rank=60&amp;RID=GYS7GTZR013","BT057192.1")</f>
        <v>BT057192.1</v>
      </c>
    </row>
    <row r="371" spans="1:7" x14ac:dyDescent="0.35">
      <c r="A371" t="s">
        <v>695</v>
      </c>
      <c r="B371">
        <v>168</v>
      </c>
      <c r="C371">
        <v>168</v>
      </c>
      <c r="D371" s="2">
        <v>0.64</v>
      </c>
      <c r="E371" s="3">
        <v>3.0000000000000002E-47</v>
      </c>
      <c r="F371">
        <v>53.1</v>
      </c>
      <c r="G371" t="str">
        <f>HYPERLINK("https://www.ncbi.nlm.nih.gov/nucleotide/XM_014031170.1?report=genbank&amp;log$=nucltop&amp;blast_rank=61&amp;RID=GYS7GTZR013","XM_014031170.1")</f>
        <v>XM_014031170.1</v>
      </c>
    </row>
    <row r="372" spans="1:7" x14ac:dyDescent="0.35">
      <c r="A372" t="s">
        <v>699</v>
      </c>
      <c r="B372">
        <v>167</v>
      </c>
      <c r="C372">
        <v>167</v>
      </c>
      <c r="D372" s="2">
        <v>0.64</v>
      </c>
      <c r="E372" s="3">
        <v>3.0000000000000002E-47</v>
      </c>
      <c r="F372">
        <v>53.1</v>
      </c>
      <c r="G372" t="str">
        <f>HYPERLINK("https://www.ncbi.nlm.nih.gov/nucleotide/BT057585.1?report=genbank&amp;log$=nucltop&amp;blast_rank=62&amp;RID=GYS7GTZR013","BT057585.1")</f>
        <v>BT057585.1</v>
      </c>
    </row>
    <row r="373" spans="1:7" x14ac:dyDescent="0.35">
      <c r="A373" t="s">
        <v>854</v>
      </c>
      <c r="B373">
        <v>167</v>
      </c>
      <c r="C373">
        <v>167</v>
      </c>
      <c r="D373" s="2">
        <v>0.64</v>
      </c>
      <c r="E373" s="3">
        <v>3.0000000000000002E-47</v>
      </c>
      <c r="F373">
        <v>53.1</v>
      </c>
      <c r="G373" t="str">
        <f>HYPERLINK("https://www.ncbi.nlm.nih.gov/nucleotide/XM_041874395.1?report=genbank&amp;log$=nucltop&amp;blast_rank=63&amp;RID=GYS7GTZR013","XM_041874395.1")</f>
        <v>XM_041874395.1</v>
      </c>
    </row>
    <row r="374" spans="1:7" x14ac:dyDescent="0.35">
      <c r="A374" t="s">
        <v>705</v>
      </c>
      <c r="B374">
        <v>167</v>
      </c>
      <c r="C374">
        <v>167</v>
      </c>
      <c r="D374" s="2">
        <v>0.64</v>
      </c>
      <c r="E374" s="3">
        <v>3.0000000000000002E-47</v>
      </c>
      <c r="F374">
        <v>53.1</v>
      </c>
      <c r="G374" t="str">
        <f>HYPERLINK("https://www.ncbi.nlm.nih.gov/nucleotide/XM_029737379.1?report=genbank&amp;log$=nucltop&amp;blast_rank=64&amp;RID=GYS7GTZR013","XM_029737379.1")</f>
        <v>XM_029737379.1</v>
      </c>
    </row>
    <row r="375" spans="1:7" x14ac:dyDescent="0.35">
      <c r="A375" t="s">
        <v>708</v>
      </c>
      <c r="B375">
        <v>167</v>
      </c>
      <c r="C375">
        <v>167</v>
      </c>
      <c r="D375" s="2">
        <v>0.64</v>
      </c>
      <c r="E375" s="3">
        <v>3.0000000000000002E-47</v>
      </c>
      <c r="F375">
        <v>53.1</v>
      </c>
      <c r="G375" t="str">
        <f>HYPERLINK("https://www.ncbi.nlm.nih.gov/nucleotide/XM_035608723.1?report=genbank&amp;log$=nucltop&amp;blast_rank=65&amp;RID=GYS7GTZR013","XM_035608723.1")</f>
        <v>XM_035608723.1</v>
      </c>
    </row>
    <row r="376" spans="1:7" x14ac:dyDescent="0.35">
      <c r="A376" t="s">
        <v>709</v>
      </c>
      <c r="B376">
        <v>167</v>
      </c>
      <c r="C376">
        <v>167</v>
      </c>
      <c r="D376" s="2">
        <v>0.64</v>
      </c>
      <c r="E376" s="3">
        <v>3.9999999999999999E-47</v>
      </c>
      <c r="F376">
        <v>53.1</v>
      </c>
      <c r="G376" t="str">
        <f>HYPERLINK("https://www.ncbi.nlm.nih.gov/nucleotide/XM_038994301.1?report=genbank&amp;log$=nucltop&amp;blast_rank=66&amp;RID=GYS7GTZR013","XM_038994301.1")</f>
        <v>XM_038994301.1</v>
      </c>
    </row>
    <row r="377" spans="1:7" x14ac:dyDescent="0.35">
      <c r="A377" t="s">
        <v>700</v>
      </c>
      <c r="B377">
        <v>167</v>
      </c>
      <c r="C377">
        <v>167</v>
      </c>
      <c r="D377" s="2">
        <v>0.64</v>
      </c>
      <c r="E377" s="3">
        <v>3.9999999999999999E-47</v>
      </c>
      <c r="F377">
        <v>53.1</v>
      </c>
      <c r="G377" t="str">
        <f>HYPERLINK("https://www.ncbi.nlm.nih.gov/nucleotide/XM_029625952.1?report=genbank&amp;log$=nucltop&amp;blast_rank=67&amp;RID=GYS7GTZR013","XM_029625952.1")</f>
        <v>XM_029625952.1</v>
      </c>
    </row>
    <row r="378" spans="1:7" x14ac:dyDescent="0.35">
      <c r="A378" t="s">
        <v>855</v>
      </c>
      <c r="B378">
        <v>167</v>
      </c>
      <c r="C378">
        <v>167</v>
      </c>
      <c r="D378" s="2">
        <v>0.64</v>
      </c>
      <c r="E378" s="3">
        <v>3.9999999999999999E-47</v>
      </c>
      <c r="F378">
        <v>53.1</v>
      </c>
      <c r="G378" t="str">
        <f>HYPERLINK("https://www.ncbi.nlm.nih.gov/nucleotide/XM_041875359.1?report=genbank&amp;log$=nucltop&amp;blast_rank=68&amp;RID=GYS7GTZR013","XM_041875359.1")</f>
        <v>XM_041875359.1</v>
      </c>
    </row>
    <row r="379" spans="1:7" x14ac:dyDescent="0.35">
      <c r="A379" t="s">
        <v>703</v>
      </c>
      <c r="B379">
        <v>167</v>
      </c>
      <c r="C379">
        <v>167</v>
      </c>
      <c r="D379" s="2">
        <v>0.64</v>
      </c>
      <c r="E379" s="3">
        <v>3.9999999999999999E-47</v>
      </c>
      <c r="F379">
        <v>53.1</v>
      </c>
      <c r="G379" t="str">
        <f>HYPERLINK("https://www.ncbi.nlm.nih.gov/nucleotide/XM_004078394.4?report=genbank&amp;log$=nucltop&amp;blast_rank=69&amp;RID=GYS7GTZR013","XM_004078394.4")</f>
        <v>XM_004078394.4</v>
      </c>
    </row>
    <row r="380" spans="1:7" x14ac:dyDescent="0.35">
      <c r="A380" t="s">
        <v>715</v>
      </c>
      <c r="B380">
        <v>167</v>
      </c>
      <c r="C380">
        <v>167</v>
      </c>
      <c r="D380" s="2">
        <v>0.64</v>
      </c>
      <c r="E380" s="3">
        <v>3.9999999999999999E-47</v>
      </c>
      <c r="F380">
        <v>53.1</v>
      </c>
      <c r="G380" t="str">
        <f>HYPERLINK("https://www.ncbi.nlm.nih.gov/nucleotide/XM_029739136.1?report=genbank&amp;log$=nucltop&amp;blast_rank=70&amp;RID=GYS7GTZR013","XM_029739136.1")</f>
        <v>XM_029739136.1</v>
      </c>
    </row>
    <row r="381" spans="1:7" x14ac:dyDescent="0.35">
      <c r="A381" t="s">
        <v>856</v>
      </c>
      <c r="B381">
        <v>166</v>
      </c>
      <c r="C381">
        <v>166</v>
      </c>
      <c r="D381" s="2">
        <v>0.64</v>
      </c>
      <c r="E381" s="3">
        <v>3.9999999999999999E-47</v>
      </c>
      <c r="F381">
        <v>53.1</v>
      </c>
      <c r="G381" t="str">
        <f>HYPERLINK("https://www.ncbi.nlm.nih.gov/nucleotide/XM_041244759.1?report=genbank&amp;log$=nucltop&amp;blast_rank=71&amp;RID=GYS7GTZR013","XM_041244759.1")</f>
        <v>XM_041244759.1</v>
      </c>
    </row>
    <row r="382" spans="1:7" x14ac:dyDescent="0.35">
      <c r="A382" t="s">
        <v>706</v>
      </c>
      <c r="B382">
        <v>167</v>
      </c>
      <c r="C382">
        <v>167</v>
      </c>
      <c r="D382" s="2">
        <v>0.64</v>
      </c>
      <c r="E382" s="3">
        <v>3.9999999999999999E-47</v>
      </c>
      <c r="F382">
        <v>53.1</v>
      </c>
      <c r="G382" t="str">
        <f>HYPERLINK("https://www.ncbi.nlm.nih.gov/nucleotide/XM_030393239.1?report=genbank&amp;log$=nucltop&amp;blast_rank=72&amp;RID=GYS7GTZR013","XM_030393239.1")</f>
        <v>XM_030393239.1</v>
      </c>
    </row>
    <row r="383" spans="1:7" x14ac:dyDescent="0.35">
      <c r="A383" t="s">
        <v>720</v>
      </c>
      <c r="B383">
        <v>167</v>
      </c>
      <c r="C383">
        <v>167</v>
      </c>
      <c r="D383" s="2">
        <v>0.64</v>
      </c>
      <c r="E383" s="3">
        <v>3.9999999999999999E-47</v>
      </c>
      <c r="F383">
        <v>53.1</v>
      </c>
      <c r="G383" t="str">
        <f>HYPERLINK("https://www.ncbi.nlm.nih.gov/nucleotide/XM_029679786.1?report=genbank&amp;log$=nucltop&amp;blast_rank=73&amp;RID=GYS7GTZR013","XM_029679786.1")</f>
        <v>XM_029679786.1</v>
      </c>
    </row>
    <row r="384" spans="1:7" x14ac:dyDescent="0.35">
      <c r="A384" t="s">
        <v>635</v>
      </c>
      <c r="B384">
        <v>236</v>
      </c>
      <c r="C384">
        <v>236</v>
      </c>
      <c r="D384" s="2">
        <v>0.99</v>
      </c>
      <c r="E384" s="3">
        <v>3.0000000000000001E-74</v>
      </c>
      <c r="F384">
        <v>52.74</v>
      </c>
      <c r="G384" t="str">
        <f>HYPERLINK("https://www.ncbi.nlm.nih.gov/nucleotide/XM_027759635.1?report=genbank&amp;log$=nucltop&amp;blast_rank=74&amp;RID=GYS7GTZR013","XM_027759635.1")</f>
        <v>XM_027759635.1</v>
      </c>
    </row>
    <row r="385" spans="1:7" x14ac:dyDescent="0.35">
      <c r="A385" t="s">
        <v>680</v>
      </c>
      <c r="B385">
        <v>166</v>
      </c>
      <c r="C385">
        <v>166</v>
      </c>
      <c r="D385" s="2">
        <v>0.64</v>
      </c>
      <c r="E385" s="3">
        <v>9.9999999999999997E-48</v>
      </c>
      <c r="F385">
        <v>52.41</v>
      </c>
      <c r="G385" t="str">
        <f>HYPERLINK("https://www.ncbi.nlm.nih.gov/nucleotide/NM_001078672.1?report=genbank&amp;log$=nucltop&amp;blast_rank=75&amp;RID=GYS7GTZR013","NM_001078672.1")</f>
        <v>NM_001078672.1</v>
      </c>
    </row>
    <row r="386" spans="1:7" x14ac:dyDescent="0.35">
      <c r="A386" t="s">
        <v>679</v>
      </c>
      <c r="B386">
        <v>166</v>
      </c>
      <c r="C386">
        <v>166</v>
      </c>
      <c r="D386" s="2">
        <v>0.64</v>
      </c>
      <c r="E386" s="3">
        <v>9.9999999999999997E-48</v>
      </c>
      <c r="F386">
        <v>52.41</v>
      </c>
      <c r="G386" t="str">
        <f>HYPERLINK("https://www.ncbi.nlm.nih.gov/nucleotide/XM_006883342.1?report=genbank&amp;log$=nucltop&amp;blast_rank=76&amp;RID=GYS7GTZR013","XM_006883342.1")</f>
        <v>XM_006883342.1</v>
      </c>
    </row>
    <row r="387" spans="1:7" x14ac:dyDescent="0.35">
      <c r="A387" t="s">
        <v>857</v>
      </c>
      <c r="B387">
        <v>166</v>
      </c>
      <c r="C387">
        <v>166</v>
      </c>
      <c r="D387" s="2">
        <v>0.64</v>
      </c>
      <c r="E387" s="3">
        <v>9.9999999999999997E-48</v>
      </c>
      <c r="F387">
        <v>52.41</v>
      </c>
      <c r="G387" t="str">
        <f>HYPERLINK("https://www.ncbi.nlm.nih.gov/nucleotide/XM_007936516.2?report=genbank&amp;log$=nucltop&amp;blast_rank=77&amp;RID=GYS7GTZR013","XM_007936516.2")</f>
        <v>XM_007936516.2</v>
      </c>
    </row>
    <row r="388" spans="1:7" x14ac:dyDescent="0.35">
      <c r="A388" t="s">
        <v>677</v>
      </c>
      <c r="B388">
        <v>166</v>
      </c>
      <c r="C388">
        <v>166</v>
      </c>
      <c r="D388" s="2">
        <v>0.64</v>
      </c>
      <c r="E388" s="3">
        <v>9.9999999999999997E-48</v>
      </c>
      <c r="F388">
        <v>52.41</v>
      </c>
      <c r="G388" t="str">
        <f>HYPERLINK("https://www.ncbi.nlm.nih.gov/nucleotide/BT019344.1?report=genbank&amp;log$=nucltop&amp;blast_rank=78&amp;RID=GYS7GTZR013","BT019344.1")</f>
        <v>BT019344.1</v>
      </c>
    </row>
    <row r="389" spans="1:7" x14ac:dyDescent="0.35">
      <c r="A389" t="s">
        <v>675</v>
      </c>
      <c r="B389">
        <v>166</v>
      </c>
      <c r="C389">
        <v>166</v>
      </c>
      <c r="D389" s="2">
        <v>0.64</v>
      </c>
      <c r="E389" s="3">
        <v>9.9999999999999997E-48</v>
      </c>
      <c r="F389">
        <v>52.41</v>
      </c>
      <c r="G389" t="str">
        <f>HYPERLINK("https://www.ncbi.nlm.nih.gov/nucleotide/AB528700.1?report=genbank&amp;log$=nucltop&amp;blast_rank=79&amp;RID=GYS7GTZR013","AB528700.1")</f>
        <v>AB528700.1</v>
      </c>
    </row>
    <row r="390" spans="1:7" x14ac:dyDescent="0.35">
      <c r="A390" t="s">
        <v>676</v>
      </c>
      <c r="B390">
        <v>166</v>
      </c>
      <c r="C390">
        <v>166</v>
      </c>
      <c r="D390" s="2">
        <v>0.64</v>
      </c>
      <c r="E390" s="3">
        <v>9.9999999999999997E-48</v>
      </c>
      <c r="F390">
        <v>52.41</v>
      </c>
      <c r="G390" t="str">
        <f>HYPERLINK("https://www.ncbi.nlm.nih.gov/nucleotide/BT019345.1?report=genbank&amp;log$=nucltop&amp;blast_rank=80&amp;RID=GYS7GTZR013","BT019345.1")</f>
        <v>BT019345.1</v>
      </c>
    </row>
    <row r="391" spans="1:7" x14ac:dyDescent="0.35">
      <c r="A391" t="s">
        <v>683</v>
      </c>
      <c r="B391">
        <v>166</v>
      </c>
      <c r="C391">
        <v>166</v>
      </c>
      <c r="D391" s="2">
        <v>0.64</v>
      </c>
      <c r="E391" s="3">
        <v>1.9999999999999999E-47</v>
      </c>
      <c r="F391">
        <v>52.41</v>
      </c>
      <c r="G391" t="str">
        <f>HYPERLINK("https://www.ncbi.nlm.nih.gov/nucleotide/XM_030887671.1?report=genbank&amp;log$=nucltop&amp;blast_rank=81&amp;RID=GYS7GTZR013","XM_030887671.1")</f>
        <v>XM_030887671.1</v>
      </c>
    </row>
    <row r="392" spans="1:7" x14ac:dyDescent="0.35">
      <c r="A392" t="s">
        <v>685</v>
      </c>
      <c r="B392">
        <v>166</v>
      </c>
      <c r="C392">
        <v>166</v>
      </c>
      <c r="D392" s="2">
        <v>0.64</v>
      </c>
      <c r="E392" s="3">
        <v>1.9999999999999999E-47</v>
      </c>
      <c r="F392">
        <v>52.41</v>
      </c>
      <c r="G392" t="str">
        <f>HYPERLINK("https://www.ncbi.nlm.nih.gov/nucleotide/XM_025912909.1?report=genbank&amp;log$=nucltop&amp;blast_rank=82&amp;RID=GYS7GTZR013","XM_025912909.1")</f>
        <v>XM_025912909.1</v>
      </c>
    </row>
    <row r="393" spans="1:7" x14ac:dyDescent="0.35">
      <c r="A393" t="s">
        <v>681</v>
      </c>
      <c r="B393">
        <v>165</v>
      </c>
      <c r="C393">
        <v>165</v>
      </c>
      <c r="D393" s="2">
        <v>0.64</v>
      </c>
      <c r="E393" s="3">
        <v>1.9999999999999999E-47</v>
      </c>
      <c r="F393">
        <v>52.41</v>
      </c>
      <c r="G393" t="str">
        <f>HYPERLINK("https://www.ncbi.nlm.nih.gov/nucleotide/XM_031590225.1?report=genbank&amp;log$=nucltop&amp;blast_rank=83&amp;RID=GYS7GTZR013","XM_031590225.1")</f>
        <v>XM_031590225.1</v>
      </c>
    </row>
    <row r="394" spans="1:7" x14ac:dyDescent="0.35">
      <c r="A394" t="s">
        <v>684</v>
      </c>
      <c r="B394">
        <v>165</v>
      </c>
      <c r="C394">
        <v>165</v>
      </c>
      <c r="D394" s="2">
        <v>0.64</v>
      </c>
      <c r="E394" s="3">
        <v>1.9999999999999999E-47</v>
      </c>
      <c r="F394">
        <v>52.41</v>
      </c>
      <c r="G394" t="str">
        <f>HYPERLINK("https://www.ncbi.nlm.nih.gov/nucleotide/XM_009638632.2?report=genbank&amp;log$=nucltop&amp;blast_rank=84&amp;RID=GYS7GTZR013","XM_009638632.2")</f>
        <v>XM_009638632.2</v>
      </c>
    </row>
    <row r="395" spans="1:7" x14ac:dyDescent="0.35">
      <c r="A395" t="s">
        <v>691</v>
      </c>
      <c r="B395">
        <v>165</v>
      </c>
      <c r="C395">
        <v>165</v>
      </c>
      <c r="D395" s="2">
        <v>0.64</v>
      </c>
      <c r="E395" s="3">
        <v>1.9999999999999999E-47</v>
      </c>
      <c r="F395">
        <v>52.41</v>
      </c>
      <c r="G395" t="str">
        <f>HYPERLINK("https://www.ncbi.nlm.nih.gov/nucleotide/XM_025913246.1?report=genbank&amp;log$=nucltop&amp;blast_rank=85&amp;RID=GYS7GTZR013","XM_025913246.1")</f>
        <v>XM_025913246.1</v>
      </c>
    </row>
    <row r="396" spans="1:7" x14ac:dyDescent="0.35">
      <c r="A396" t="s">
        <v>858</v>
      </c>
      <c r="B396">
        <v>165</v>
      </c>
      <c r="C396">
        <v>165</v>
      </c>
      <c r="D396" s="2">
        <v>0.64</v>
      </c>
      <c r="E396" s="3">
        <v>1.9999999999999999E-47</v>
      </c>
      <c r="F396">
        <v>52.41</v>
      </c>
      <c r="G396" t="str">
        <f>HYPERLINK("https://www.ncbi.nlm.nih.gov/nucleotide/XM_007936495.2?report=genbank&amp;log$=nucltop&amp;blast_rank=86&amp;RID=GYS7GTZR013","XM_007936495.2")</f>
        <v>XM_007936495.2</v>
      </c>
    </row>
    <row r="397" spans="1:7" x14ac:dyDescent="0.35">
      <c r="A397" t="s">
        <v>692</v>
      </c>
      <c r="B397">
        <v>165</v>
      </c>
      <c r="C397">
        <v>165</v>
      </c>
      <c r="D397" s="2">
        <v>0.64</v>
      </c>
      <c r="E397" s="3">
        <v>1.9999999999999999E-47</v>
      </c>
      <c r="F397">
        <v>52.41</v>
      </c>
      <c r="G397" t="str">
        <f>HYPERLINK("https://www.ncbi.nlm.nih.gov/nucleotide/X92963.1?report=genbank&amp;log$=nucltop&amp;blast_rank=87&amp;RID=GYS7GTZR013","X92963.1")</f>
        <v>X92963.1</v>
      </c>
    </row>
    <row r="398" spans="1:7" x14ac:dyDescent="0.35">
      <c r="A398" t="s">
        <v>689</v>
      </c>
      <c r="B398">
        <v>165</v>
      </c>
      <c r="C398">
        <v>165</v>
      </c>
      <c r="D398" s="2">
        <v>0.64</v>
      </c>
      <c r="E398" s="3">
        <v>1.9999999999999999E-47</v>
      </c>
      <c r="F398">
        <v>52.41</v>
      </c>
      <c r="G398" t="str">
        <f>HYPERLINK("https://www.ncbi.nlm.nih.gov/nucleotide/XM_006883343.1?report=genbank&amp;log$=nucltop&amp;blast_rank=88&amp;RID=GYS7GTZR013","XM_006883343.1")</f>
        <v>XM_006883343.1</v>
      </c>
    </row>
    <row r="399" spans="1:7" x14ac:dyDescent="0.35">
      <c r="A399" t="s">
        <v>682</v>
      </c>
      <c r="B399">
        <v>166</v>
      </c>
      <c r="C399">
        <v>166</v>
      </c>
      <c r="D399" s="2">
        <v>0.64</v>
      </c>
      <c r="E399" s="3">
        <v>1.9999999999999999E-47</v>
      </c>
      <c r="F399">
        <v>52.41</v>
      </c>
      <c r="G399" t="str">
        <f>HYPERLINK("https://www.ncbi.nlm.nih.gov/nucleotide/MG132745.1?report=genbank&amp;log$=nucltop&amp;blast_rank=89&amp;RID=GYS7GTZR013","MG132745.1")</f>
        <v>MG132745.1</v>
      </c>
    </row>
    <row r="400" spans="1:7" x14ac:dyDescent="0.35">
      <c r="A400" t="s">
        <v>859</v>
      </c>
      <c r="B400">
        <v>165</v>
      </c>
      <c r="C400">
        <v>165</v>
      </c>
      <c r="D400" s="2">
        <v>0.64</v>
      </c>
      <c r="E400" s="3">
        <v>3.0000000000000002E-47</v>
      </c>
      <c r="F400">
        <v>52.41</v>
      </c>
      <c r="G400" t="str">
        <f>HYPERLINK("https://www.ncbi.nlm.nih.gov/nucleotide/XM_039706675.1?report=genbank&amp;log$=nucltop&amp;blast_rank=90&amp;RID=GYS7GTZR013","XM_039706675.1")</f>
        <v>XM_039706675.1</v>
      </c>
    </row>
    <row r="401" spans="1:7" x14ac:dyDescent="0.35">
      <c r="A401" t="s">
        <v>673</v>
      </c>
      <c r="B401">
        <v>165</v>
      </c>
      <c r="C401">
        <v>165</v>
      </c>
      <c r="D401" s="2">
        <v>0.64</v>
      </c>
      <c r="E401" s="3">
        <v>3.0000000000000002E-47</v>
      </c>
      <c r="F401">
        <v>52.41</v>
      </c>
      <c r="G401" t="str">
        <f>HYPERLINK("https://www.ncbi.nlm.nih.gov/nucleotide/XM_004347989.2?report=genbank&amp;log$=nucltop&amp;blast_rank=91&amp;RID=GYS7GTZR013","XM_004347989.2")</f>
        <v>XM_004347989.2</v>
      </c>
    </row>
    <row r="402" spans="1:7" x14ac:dyDescent="0.35">
      <c r="A402" t="s">
        <v>690</v>
      </c>
      <c r="B402">
        <v>166</v>
      </c>
      <c r="C402">
        <v>166</v>
      </c>
      <c r="D402" s="2">
        <v>0.64</v>
      </c>
      <c r="E402" s="3">
        <v>3.0000000000000002E-47</v>
      </c>
      <c r="F402">
        <v>52.41</v>
      </c>
      <c r="G402" t="str">
        <f>HYPERLINK("https://www.ncbi.nlm.nih.gov/nucleotide/BC169529.1?report=genbank&amp;log$=nucltop&amp;blast_rank=92&amp;RID=GYS7GTZR013","BC169529.1")</f>
        <v>BC169529.1</v>
      </c>
    </row>
    <row r="403" spans="1:7" x14ac:dyDescent="0.35">
      <c r="A403" t="s">
        <v>693</v>
      </c>
      <c r="B403">
        <v>166</v>
      </c>
      <c r="C403">
        <v>166</v>
      </c>
      <c r="D403" s="2">
        <v>0.64</v>
      </c>
      <c r="E403" s="3">
        <v>3.9999999999999999E-47</v>
      </c>
      <c r="F403">
        <v>52.41</v>
      </c>
      <c r="G403" t="str">
        <f>HYPERLINK("https://www.ncbi.nlm.nih.gov/nucleotide/BC169533.1?report=genbank&amp;log$=nucltop&amp;blast_rank=93&amp;RID=GYS7GTZR013","BC169533.1")</f>
        <v>BC169533.1</v>
      </c>
    </row>
    <row r="404" spans="1:7" x14ac:dyDescent="0.35">
      <c r="A404" t="s">
        <v>860</v>
      </c>
      <c r="B404">
        <v>213</v>
      </c>
      <c r="C404">
        <v>213</v>
      </c>
      <c r="D404" s="2">
        <v>0.92</v>
      </c>
      <c r="E404" s="3">
        <v>3.9999999999999997E-65</v>
      </c>
      <c r="F404">
        <v>51.82</v>
      </c>
      <c r="G404" t="str">
        <f>HYPERLINK("https://www.ncbi.nlm.nih.gov/nucleotide/XM_040911022.1?report=genbank&amp;log$=nucltop&amp;blast_rank=94&amp;RID=GYS7GTZR013","XM_040911022.1")</f>
        <v>XM_040911022.1</v>
      </c>
    </row>
    <row r="405" spans="1:7" x14ac:dyDescent="0.35">
      <c r="A405" t="s">
        <v>711</v>
      </c>
      <c r="B405">
        <v>165</v>
      </c>
      <c r="C405">
        <v>165</v>
      </c>
      <c r="D405" s="2">
        <v>0.65</v>
      </c>
      <c r="E405" s="3">
        <v>6.9999999999999998E-48</v>
      </c>
      <c r="F405">
        <v>51.37</v>
      </c>
      <c r="G405" t="str">
        <f>HYPERLINK("https://www.ncbi.nlm.nih.gov/nucleotide/XM_029014759.1?report=genbank&amp;log$=nucltop&amp;blast_rank=95&amp;RID=GYS7GTZR013","XM_029014759.1")</f>
        <v>XM_029014759.1</v>
      </c>
    </row>
    <row r="406" spans="1:7" x14ac:dyDescent="0.35">
      <c r="A406" t="s">
        <v>712</v>
      </c>
      <c r="B406">
        <v>165</v>
      </c>
      <c r="C406">
        <v>165</v>
      </c>
      <c r="D406" s="2">
        <v>0.65</v>
      </c>
      <c r="E406" s="3">
        <v>6.9999999999999998E-48</v>
      </c>
      <c r="F406">
        <v>51.37</v>
      </c>
      <c r="G406" t="str">
        <f>HYPERLINK("https://www.ncbi.nlm.nih.gov/nucleotide/XM_009693149.1?report=genbank&amp;log$=nucltop&amp;blast_rank=96&amp;RID=GYS7GTZR013","XM_009693149.1")</f>
        <v>XM_009693149.1</v>
      </c>
    </row>
    <row r="407" spans="1:7" x14ac:dyDescent="0.35">
      <c r="A407" t="s">
        <v>861</v>
      </c>
      <c r="B407">
        <v>164</v>
      </c>
      <c r="C407">
        <v>164</v>
      </c>
      <c r="D407" s="2">
        <v>0.65</v>
      </c>
      <c r="E407" s="3">
        <v>7.9999999999999998E-48</v>
      </c>
      <c r="F407">
        <v>51.37</v>
      </c>
      <c r="G407" t="str">
        <f>HYPERLINK("https://www.ncbi.nlm.nih.gov/nucleotide/XM_758375.1?report=genbank&amp;log$=nucltop&amp;blast_rank=97&amp;RID=GYS7GTZR013","XM_758375.1")</f>
        <v>XM_758375.1</v>
      </c>
    </row>
    <row r="408" spans="1:7" x14ac:dyDescent="0.35">
      <c r="A408" t="s">
        <v>862</v>
      </c>
      <c r="B408">
        <v>164</v>
      </c>
      <c r="C408">
        <v>164</v>
      </c>
      <c r="D408" s="2">
        <v>0.65</v>
      </c>
      <c r="E408" s="3">
        <v>7.9999999999999998E-48</v>
      </c>
      <c r="F408">
        <v>51.37</v>
      </c>
      <c r="G408" t="str">
        <f>HYPERLINK("https://www.ncbi.nlm.nih.gov/nucleotide/XM_950041.1?report=genbank&amp;log$=nucltop&amp;blast_rank=98&amp;RID=GYS7GTZR013","XM_950041.1")</f>
        <v>XM_950041.1</v>
      </c>
    </row>
    <row r="409" spans="1:7" x14ac:dyDescent="0.35">
      <c r="A409" t="s">
        <v>665</v>
      </c>
      <c r="B409">
        <v>173</v>
      </c>
      <c r="C409">
        <v>173</v>
      </c>
      <c r="D409" s="2">
        <v>0.74</v>
      </c>
      <c r="E409" s="3">
        <v>8.0000000000000001E-51</v>
      </c>
      <c r="F409">
        <v>50.6</v>
      </c>
      <c r="G409" t="str">
        <f>HYPERLINK("https://www.ncbi.nlm.nih.gov/nucleotide/XM_016414163.1?report=genbank&amp;log$=nucltop&amp;blast_rank=99&amp;RID=GYS7GTZR013","XM_016414163.1")</f>
        <v>XM_016414163.1</v>
      </c>
    </row>
    <row r="410" spans="1:7" x14ac:dyDescent="0.35">
      <c r="A410" t="s">
        <v>663</v>
      </c>
      <c r="B410">
        <v>175</v>
      </c>
      <c r="C410">
        <v>175</v>
      </c>
      <c r="D410" s="2">
        <v>0.96</v>
      </c>
      <c r="E410" s="3">
        <v>5E-51</v>
      </c>
      <c r="F410">
        <v>45.83</v>
      </c>
      <c r="G410" t="str">
        <f>HYPERLINK("https://www.ncbi.nlm.nih.gov/nucleotide/XM_007000367.1?report=genbank&amp;log$=nucltop&amp;blast_rank=100&amp;RID=GYS7GTZR013","XM_007000367.1")</f>
        <v>XM_007000367.1</v>
      </c>
    </row>
    <row r="411" spans="1:7" x14ac:dyDescent="0.35">
      <c r="A411" s="1" t="s">
        <v>924</v>
      </c>
    </row>
    <row r="412" spans="1:7" x14ac:dyDescent="0.35">
      <c r="A412" s="1" t="s">
        <v>2</v>
      </c>
      <c r="B412" s="1" t="s">
        <v>3</v>
      </c>
      <c r="C412" s="1" t="s">
        <v>4</v>
      </c>
      <c r="D412" s="1" t="s">
        <v>5</v>
      </c>
      <c r="E412" s="1" t="s">
        <v>6</v>
      </c>
      <c r="F412" s="1" t="s">
        <v>7</v>
      </c>
      <c r="G412" s="1" t="s">
        <v>8</v>
      </c>
    </row>
    <row r="413" spans="1:7" x14ac:dyDescent="0.35">
      <c r="A413" s="4" t="s">
        <v>563</v>
      </c>
      <c r="B413" s="4">
        <v>237</v>
      </c>
      <c r="C413" s="4">
        <v>237</v>
      </c>
      <c r="D413" s="5">
        <v>0.9</v>
      </c>
      <c r="E413" s="6">
        <v>1E-73</v>
      </c>
      <c r="F413" s="4">
        <v>66.67</v>
      </c>
      <c r="G413" s="4" t="str">
        <f>HYPERLINK("https://www.ncbi.nlm.nih.gov/nucleotide/XM_007382807.1?report=genbank&amp;log$=nucltop&amp;blast_rank=1&amp;RID=GYRXJR59013","XM_007382807.1")</f>
        <v>XM_007382807.1</v>
      </c>
    </row>
    <row r="414" spans="1:7" x14ac:dyDescent="0.35">
      <c r="A414" s="4" t="s">
        <v>565</v>
      </c>
      <c r="B414" s="4">
        <v>227</v>
      </c>
      <c r="C414" s="4">
        <v>227</v>
      </c>
      <c r="D414" s="5">
        <v>0.9</v>
      </c>
      <c r="E414" s="6">
        <v>1.9999999999999998E-71</v>
      </c>
      <c r="F414" s="4">
        <v>66.290000000000006</v>
      </c>
      <c r="G414" s="4" t="str">
        <f>HYPERLINK("https://www.ncbi.nlm.nih.gov/nucleotide/AB508815.1?report=genbank&amp;log$=nucltop&amp;blast_rank=2&amp;RID=GYRXJR59013","AB508815.1")</f>
        <v>AB508815.1</v>
      </c>
    </row>
    <row r="415" spans="1:7" x14ac:dyDescent="0.35">
      <c r="A415" s="4" t="s">
        <v>566</v>
      </c>
      <c r="B415" s="4">
        <v>227</v>
      </c>
      <c r="C415" s="4">
        <v>227</v>
      </c>
      <c r="D415" s="5">
        <v>0.9</v>
      </c>
      <c r="E415" s="6">
        <v>3.0000000000000001E-71</v>
      </c>
      <c r="F415" s="4">
        <v>66.290000000000006</v>
      </c>
      <c r="G415" s="4" t="str">
        <f>HYPERLINK("https://www.ncbi.nlm.nih.gov/nucleotide/MF872580.1?report=genbank&amp;log$=nucltop&amp;blast_rank=3&amp;RID=GYRXJR59013","MF872580.1")</f>
        <v>MF872580.1</v>
      </c>
    </row>
    <row r="416" spans="1:7" x14ac:dyDescent="0.35">
      <c r="A416" s="4" t="s">
        <v>863</v>
      </c>
      <c r="B416" s="4">
        <v>226</v>
      </c>
      <c r="C416" s="4">
        <v>226</v>
      </c>
      <c r="D416" s="5">
        <v>0.9</v>
      </c>
      <c r="E416" s="6">
        <v>3.9999999999999997E-71</v>
      </c>
      <c r="F416" s="4">
        <v>65.14</v>
      </c>
      <c r="G416" s="4" t="str">
        <f>HYPERLINK("https://www.ncbi.nlm.nih.gov/nucleotide/AB378504.1?report=genbank&amp;log$=nucltop&amp;blast_rank=4&amp;RID=GYRXJR59013","AB378504.1")</f>
        <v>AB378504.1</v>
      </c>
    </row>
    <row r="417" spans="1:7" x14ac:dyDescent="0.35">
      <c r="A417" s="4" t="s">
        <v>577</v>
      </c>
      <c r="B417" s="4">
        <v>174</v>
      </c>
      <c r="C417" s="4">
        <v>174</v>
      </c>
      <c r="D417" s="5">
        <v>0.7</v>
      </c>
      <c r="E417" s="6">
        <v>4E-51</v>
      </c>
      <c r="F417" s="4">
        <v>64.959999999999994</v>
      </c>
      <c r="G417" s="4" t="str">
        <f>HYPERLINK("https://www.ncbi.nlm.nih.gov/nucleotide/JF317687.1?report=genbank&amp;log$=nucltop&amp;blast_rank=5&amp;RID=GYRXJR59013","JF317687.1")</f>
        <v>JF317687.1</v>
      </c>
    </row>
    <row r="418" spans="1:7" x14ac:dyDescent="0.35">
      <c r="A418" s="4" t="s">
        <v>567</v>
      </c>
      <c r="B418" s="4">
        <v>230</v>
      </c>
      <c r="C418" s="4">
        <v>230</v>
      </c>
      <c r="D418" s="5">
        <v>0.9</v>
      </c>
      <c r="E418" s="6">
        <v>1.9999999999999999E-72</v>
      </c>
      <c r="F418" s="4">
        <v>64.94</v>
      </c>
      <c r="G418" s="4" t="str">
        <f>HYPERLINK("https://www.ncbi.nlm.nih.gov/nucleotide/XM_007867111.1?report=genbank&amp;log$=nucltop&amp;blast_rank=6&amp;RID=GYRXJR59013","XM_007867111.1")</f>
        <v>XM_007867111.1</v>
      </c>
    </row>
    <row r="419" spans="1:7" x14ac:dyDescent="0.35">
      <c r="A419" s="4" t="s">
        <v>576</v>
      </c>
      <c r="B419" s="4">
        <v>174</v>
      </c>
      <c r="C419" s="4">
        <v>174</v>
      </c>
      <c r="D419" s="5">
        <v>0.65</v>
      </c>
      <c r="E419" s="6">
        <v>3E-51</v>
      </c>
      <c r="F419" s="4">
        <v>64.8</v>
      </c>
      <c r="G419" s="4" t="str">
        <f>HYPERLINK("https://www.ncbi.nlm.nih.gov/nucleotide/XM_009550995.1?report=genbank&amp;log$=nucltop&amp;blast_rank=7&amp;RID=GYRXJR59013","XM_009550995.1")</f>
        <v>XM_009550995.1</v>
      </c>
    </row>
    <row r="420" spans="1:7" x14ac:dyDescent="0.35">
      <c r="A420" s="4" t="s">
        <v>570</v>
      </c>
      <c r="B420" s="4">
        <v>228</v>
      </c>
      <c r="C420" s="4">
        <v>228</v>
      </c>
      <c r="D420" s="5">
        <v>0.9</v>
      </c>
      <c r="E420" s="6">
        <v>1.9999999999999999E-72</v>
      </c>
      <c r="F420" s="4">
        <v>63.22</v>
      </c>
      <c r="G420" s="4" t="str">
        <f>HYPERLINK("https://www.ncbi.nlm.nih.gov/nucleotide/XM_007368135.1?report=genbank&amp;log$=nucltop&amp;blast_rank=8&amp;RID=GYRXJR59013","XM_007368135.1")</f>
        <v>XM_007368135.1</v>
      </c>
    </row>
    <row r="421" spans="1:7" x14ac:dyDescent="0.35">
      <c r="A421" s="4" t="s">
        <v>568</v>
      </c>
      <c r="B421" s="4">
        <v>219</v>
      </c>
      <c r="C421" s="4">
        <v>219</v>
      </c>
      <c r="D421" s="5">
        <v>0.9</v>
      </c>
      <c r="E421" s="6">
        <v>2.9999999999999999E-69</v>
      </c>
      <c r="F421" s="4">
        <v>62.86</v>
      </c>
      <c r="G421" s="4" t="str">
        <f>HYPERLINK("https://www.ncbi.nlm.nih.gov/nucleotide/XM_007396846.1?report=genbank&amp;log$=nucltop&amp;blast_rank=9&amp;RID=GYRXJR59013","XM_007396846.1")</f>
        <v>XM_007396846.1</v>
      </c>
    </row>
    <row r="422" spans="1:7" x14ac:dyDescent="0.35">
      <c r="A422" s="4" t="s">
        <v>572</v>
      </c>
      <c r="B422" s="4">
        <v>222</v>
      </c>
      <c r="C422" s="4">
        <v>222</v>
      </c>
      <c r="D422" s="5">
        <v>0.9</v>
      </c>
      <c r="E422" s="6">
        <v>4E-70</v>
      </c>
      <c r="F422" s="4">
        <v>62.64</v>
      </c>
      <c r="G422" s="4" t="str">
        <f>HYPERLINK("https://www.ncbi.nlm.nih.gov/nucleotide/XM_007261273.1?report=genbank&amp;log$=nucltop&amp;blast_rank=10&amp;RID=GYRXJR59013","XM_007261273.1")</f>
        <v>XM_007261273.1</v>
      </c>
    </row>
    <row r="423" spans="1:7" x14ac:dyDescent="0.35">
      <c r="A423" s="4" t="s">
        <v>569</v>
      </c>
      <c r="B423" s="4">
        <v>216</v>
      </c>
      <c r="C423" s="4">
        <v>216</v>
      </c>
      <c r="D423" s="5">
        <v>0.9</v>
      </c>
      <c r="E423" s="6">
        <v>7.0000000000000001E-67</v>
      </c>
      <c r="F423" s="4">
        <v>62.5</v>
      </c>
      <c r="G423" s="4" t="str">
        <f>HYPERLINK("https://www.ncbi.nlm.nih.gov/nucleotide/XM_007304416.1?report=genbank&amp;log$=nucltop&amp;blast_rank=11&amp;RID=GYRXJR59013","XM_007304416.1")</f>
        <v>XM_007304416.1</v>
      </c>
    </row>
    <row r="424" spans="1:7" x14ac:dyDescent="0.35">
      <c r="A424" s="4" t="s">
        <v>571</v>
      </c>
      <c r="B424" s="4">
        <v>218</v>
      </c>
      <c r="C424" s="4">
        <v>218</v>
      </c>
      <c r="D424" s="5">
        <v>0.9</v>
      </c>
      <c r="E424" s="6">
        <v>4.0000000000000003E-68</v>
      </c>
      <c r="F424" s="4">
        <v>61.49</v>
      </c>
      <c r="G424" s="4" t="str">
        <f>HYPERLINK("https://www.ncbi.nlm.nih.gov/nucleotide/XM_008040541.1?report=genbank&amp;log$=nucltop&amp;blast_rank=12&amp;RID=GYRXJR59013","XM_008040541.1")</f>
        <v>XM_008040541.1</v>
      </c>
    </row>
    <row r="425" spans="1:7" x14ac:dyDescent="0.35">
      <c r="A425" s="4" t="s">
        <v>573</v>
      </c>
      <c r="B425" s="4">
        <v>220</v>
      </c>
      <c r="C425" s="4">
        <v>220</v>
      </c>
      <c r="D425" s="5">
        <v>0.9</v>
      </c>
      <c r="E425" s="6">
        <v>1.9999999999999999E-69</v>
      </c>
      <c r="F425" s="4">
        <v>60.34</v>
      </c>
      <c r="G425" s="4" t="str">
        <f>HYPERLINK("https://www.ncbi.nlm.nih.gov/nucleotide/XM_007772338.1?report=genbank&amp;log$=nucltop&amp;blast_rank=13&amp;RID=GYRXJR59013","XM_007772338.1")</f>
        <v>XM_007772338.1</v>
      </c>
    </row>
    <row r="426" spans="1:7" x14ac:dyDescent="0.35">
      <c r="A426" s="4" t="s">
        <v>575</v>
      </c>
      <c r="B426" s="4">
        <v>202</v>
      </c>
      <c r="C426" s="4">
        <v>202</v>
      </c>
      <c r="D426" s="5">
        <v>0.9</v>
      </c>
      <c r="E426" s="6">
        <v>4.0000000000000002E-61</v>
      </c>
      <c r="F426" s="4">
        <v>57.14</v>
      </c>
      <c r="G426" s="4" t="str">
        <f>HYPERLINK("https://www.ncbi.nlm.nih.gov/nucleotide/XM_037360141.1?report=genbank&amp;log$=nucltop&amp;blast_rank=14&amp;RID=GYRXJR59013","XM_037360141.1")</f>
        <v>XM_037360141.1</v>
      </c>
    </row>
    <row r="427" spans="1:7" x14ac:dyDescent="0.35">
      <c r="A427" s="4" t="s">
        <v>864</v>
      </c>
      <c r="B427" s="4">
        <v>203</v>
      </c>
      <c r="C427" s="4">
        <v>203</v>
      </c>
      <c r="D427" s="5">
        <v>0.89</v>
      </c>
      <c r="E427" s="6">
        <v>5.0000000000000002E-63</v>
      </c>
      <c r="F427" s="4">
        <v>56.73</v>
      </c>
      <c r="G427" s="4" t="str">
        <f>HYPERLINK("https://www.ncbi.nlm.nih.gov/nucleotide/XM_040774528.1?report=genbank&amp;log$=nucltop&amp;blast_rank=15&amp;RID=GYRXJR59013","XM_040774528.1")</f>
        <v>XM_040774528.1</v>
      </c>
    </row>
    <row r="428" spans="1:7" x14ac:dyDescent="0.35">
      <c r="A428" s="4" t="s">
        <v>865</v>
      </c>
      <c r="B428" s="4">
        <v>188</v>
      </c>
      <c r="C428" s="4">
        <v>188</v>
      </c>
      <c r="D428" s="5">
        <v>0.9</v>
      </c>
      <c r="E428" s="6">
        <v>9.9999999999999999E-56</v>
      </c>
      <c r="F428" s="4">
        <v>56</v>
      </c>
      <c r="G428" s="4" t="str">
        <f>HYPERLINK("https://www.ncbi.nlm.nih.gov/nucleotide/XM_040901445.1?report=genbank&amp;log$=nucltop&amp;blast_rank=16&amp;RID=GYRXJR59013","XM_040901445.1")</f>
        <v>XM_040901445.1</v>
      </c>
    </row>
    <row r="429" spans="1:7" x14ac:dyDescent="0.35">
      <c r="A429" t="s">
        <v>604</v>
      </c>
      <c r="B429">
        <v>48.1</v>
      </c>
      <c r="C429">
        <v>48.1</v>
      </c>
      <c r="D429" s="2">
        <v>0.19</v>
      </c>
      <c r="E429">
        <v>1.0999999999999999E-2</v>
      </c>
      <c r="F429">
        <v>55.26</v>
      </c>
      <c r="G429" t="str">
        <f>HYPERLINK("https://www.ncbi.nlm.nih.gov/nucleotide/XM_035484557.1?report=genbank&amp;log$=nucltop&amp;blast_rank=17&amp;RID=GYRXJR59013","XM_035484557.1")</f>
        <v>XM_035484557.1</v>
      </c>
    </row>
    <row r="430" spans="1:7" x14ac:dyDescent="0.35">
      <c r="A430" t="s">
        <v>102</v>
      </c>
      <c r="B430">
        <v>47.8</v>
      </c>
      <c r="C430">
        <v>47.8</v>
      </c>
      <c r="D430" s="2">
        <v>0.19</v>
      </c>
      <c r="E430">
        <v>2.1000000000000001E-2</v>
      </c>
      <c r="F430">
        <v>55.26</v>
      </c>
      <c r="G430" t="str">
        <f>HYPERLINK("https://www.ncbi.nlm.nih.gov/nucleotide/CP055898.1?report=genbank&amp;log$=nucltop&amp;blast_rank=18&amp;RID=GYRXJR59013","CP055898.1")</f>
        <v>CP055898.1</v>
      </c>
    </row>
    <row r="431" spans="1:7" x14ac:dyDescent="0.35">
      <c r="A431" t="s">
        <v>574</v>
      </c>
      <c r="B431">
        <v>74.3</v>
      </c>
      <c r="C431">
        <v>105</v>
      </c>
      <c r="D431" s="2">
        <v>0.44</v>
      </c>
      <c r="E431" s="3">
        <v>1E-13</v>
      </c>
      <c r="F431">
        <v>53.73</v>
      </c>
      <c r="G431" t="str">
        <f>HYPERLINK("https://www.ncbi.nlm.nih.gov/nucleotide/LR732081.1?report=genbank&amp;log$=nucltop&amp;blast_rank=19&amp;RID=GYRXJR59013","LR732081.1")</f>
        <v>LR732081.1</v>
      </c>
    </row>
    <row r="432" spans="1:7" x14ac:dyDescent="0.35">
      <c r="A432" t="s">
        <v>37</v>
      </c>
      <c r="B432">
        <v>129</v>
      </c>
      <c r="C432">
        <v>199</v>
      </c>
      <c r="D432" s="2">
        <v>1</v>
      </c>
      <c r="E432" s="3">
        <v>1E-41</v>
      </c>
      <c r="F432">
        <v>52.94</v>
      </c>
      <c r="G432" t="str">
        <f>HYPERLINK("https://www.ncbi.nlm.nih.gov/nucleotide/LR732085.1?report=genbank&amp;log$=nucltop&amp;blast_rank=20&amp;RID=GYRXJR59013","LR732085.1")</f>
        <v>LR732085.1</v>
      </c>
    </row>
    <row r="433" spans="1:7" x14ac:dyDescent="0.35">
      <c r="A433" t="s">
        <v>579</v>
      </c>
      <c r="B433">
        <v>172</v>
      </c>
      <c r="C433">
        <v>172</v>
      </c>
      <c r="D433" s="2">
        <v>0.9</v>
      </c>
      <c r="E433" s="3">
        <v>5E-51</v>
      </c>
      <c r="F433">
        <v>52.87</v>
      </c>
      <c r="G433" t="str">
        <f>HYPERLINK("https://www.ncbi.nlm.nih.gov/nucleotide/XM_006461891.1?report=genbank&amp;log$=nucltop&amp;blast_rank=21&amp;RID=GYRXJR59013","XM_006461891.1")</f>
        <v>XM_006461891.1</v>
      </c>
    </row>
    <row r="434" spans="1:7" x14ac:dyDescent="0.35">
      <c r="A434" t="s">
        <v>580</v>
      </c>
      <c r="B434">
        <v>172</v>
      </c>
      <c r="C434">
        <v>172</v>
      </c>
      <c r="D434" s="2">
        <v>0.9</v>
      </c>
      <c r="E434" s="3">
        <v>6E-51</v>
      </c>
      <c r="F434">
        <v>52.87</v>
      </c>
      <c r="G434" t="str">
        <f>HYPERLINK("https://www.ncbi.nlm.nih.gov/nucleotide/XM_007327576.1?report=genbank&amp;log$=nucltop&amp;blast_rank=22&amp;RID=GYRXJR59013","XM_007327576.1")</f>
        <v>XM_007327576.1</v>
      </c>
    </row>
    <row r="435" spans="1:7" x14ac:dyDescent="0.35">
      <c r="A435" t="s">
        <v>584</v>
      </c>
      <c r="B435">
        <v>48.1</v>
      </c>
      <c r="C435">
        <v>48.1</v>
      </c>
      <c r="D435" s="2">
        <v>0.19</v>
      </c>
      <c r="E435">
        <v>8.0000000000000002E-3</v>
      </c>
      <c r="F435">
        <v>52.63</v>
      </c>
      <c r="G435" t="str">
        <f>HYPERLINK("https://www.ncbi.nlm.nih.gov/nucleotide/XM_743744.1?report=genbank&amp;log$=nucltop&amp;blast_rank=23&amp;RID=GYRXJR59013","XM_743744.1")</f>
        <v>XM_743744.1</v>
      </c>
    </row>
    <row r="436" spans="1:7" x14ac:dyDescent="0.35">
      <c r="A436" t="s">
        <v>585</v>
      </c>
      <c r="B436">
        <v>48.1</v>
      </c>
      <c r="C436">
        <v>48.1</v>
      </c>
      <c r="D436" s="2">
        <v>0.19</v>
      </c>
      <c r="E436">
        <v>8.0000000000000002E-3</v>
      </c>
      <c r="F436">
        <v>52.63</v>
      </c>
      <c r="G436" t="str">
        <f>HYPERLINK("https://www.ncbi.nlm.nih.gov/nucleotide/XM_002484164.1?report=genbank&amp;log$=nucltop&amp;blast_rank=24&amp;RID=GYRXJR59013","XM_002484164.1")</f>
        <v>XM_002484164.1</v>
      </c>
    </row>
    <row r="437" spans="1:7" x14ac:dyDescent="0.35">
      <c r="A437" t="s">
        <v>866</v>
      </c>
      <c r="B437">
        <v>47.8</v>
      </c>
      <c r="C437">
        <v>47.8</v>
      </c>
      <c r="D437" s="2">
        <v>0.19</v>
      </c>
      <c r="E437">
        <v>1.0999999999999999E-2</v>
      </c>
      <c r="F437">
        <v>52.63</v>
      </c>
      <c r="G437" t="str">
        <f>HYPERLINK("https://www.ncbi.nlm.nih.gov/nucleotide/XM_040877736.1?report=genbank&amp;log$=nucltop&amp;blast_rank=25&amp;RID=GYRXJR59013","XM_040877736.1")</f>
        <v>XM_040877736.1</v>
      </c>
    </row>
    <row r="438" spans="1:7" x14ac:dyDescent="0.35">
      <c r="A438" t="s">
        <v>867</v>
      </c>
      <c r="B438">
        <v>47</v>
      </c>
      <c r="C438">
        <v>47</v>
      </c>
      <c r="D438" s="2">
        <v>0.19</v>
      </c>
      <c r="E438">
        <v>1.2999999999999999E-2</v>
      </c>
      <c r="F438">
        <v>52.63</v>
      </c>
      <c r="G438" t="str">
        <f>HYPERLINK("https://www.ncbi.nlm.nih.gov/nucleotide/XM_040854993.1?report=genbank&amp;log$=nucltop&amp;blast_rank=26&amp;RID=GYRXJR59013","XM_040854993.1")</f>
        <v>XM_040854993.1</v>
      </c>
    </row>
    <row r="439" spans="1:7" x14ac:dyDescent="0.35">
      <c r="A439" t="s">
        <v>868</v>
      </c>
      <c r="B439">
        <v>47.8</v>
      </c>
      <c r="C439">
        <v>47.8</v>
      </c>
      <c r="D439" s="2">
        <v>0.19</v>
      </c>
      <c r="E439">
        <v>1.6E-2</v>
      </c>
      <c r="F439">
        <v>52.63</v>
      </c>
      <c r="G439" t="str">
        <f>HYPERLINK("https://www.ncbi.nlm.nih.gov/nucleotide/XM_040898091.1?report=genbank&amp;log$=nucltop&amp;blast_rank=27&amp;RID=GYRXJR59013","XM_040898091.1")</f>
        <v>XM_040898091.1</v>
      </c>
    </row>
    <row r="440" spans="1:7" x14ac:dyDescent="0.35">
      <c r="A440" t="s">
        <v>589</v>
      </c>
      <c r="B440">
        <v>47.4</v>
      </c>
      <c r="C440">
        <v>47.4</v>
      </c>
      <c r="D440" s="2">
        <v>0.19</v>
      </c>
      <c r="E440">
        <v>2.9000000000000001E-2</v>
      </c>
      <c r="F440">
        <v>52.63</v>
      </c>
      <c r="G440" t="str">
        <f>HYPERLINK("https://www.ncbi.nlm.nih.gov/nucleotide/CP017347.1?report=genbank&amp;log$=nucltop&amp;blast_rank=28&amp;RID=GYRXJR59013","CP017347.1")</f>
        <v>CP017347.1</v>
      </c>
    </row>
    <row r="441" spans="1:7" x14ac:dyDescent="0.35">
      <c r="A441" t="s">
        <v>595</v>
      </c>
      <c r="B441">
        <v>187</v>
      </c>
      <c r="C441">
        <v>187</v>
      </c>
      <c r="D441" s="2">
        <v>0.9</v>
      </c>
      <c r="E441" s="3">
        <v>6.9999999999999995E-51</v>
      </c>
      <c r="F441">
        <v>48</v>
      </c>
      <c r="G441" t="str">
        <f>HYPERLINK("https://www.ncbi.nlm.nih.gov/nucleotide/LR732076.1?report=genbank&amp;log$=nucltop&amp;blast_rank=29&amp;RID=GYRXJR59013","LR732076.1")</f>
        <v>LR732076.1</v>
      </c>
    </row>
    <row r="442" spans="1:7" x14ac:dyDescent="0.35">
      <c r="A442" t="s">
        <v>869</v>
      </c>
      <c r="B442">
        <v>47.4</v>
      </c>
      <c r="C442">
        <v>47.4</v>
      </c>
      <c r="D442" s="2">
        <v>0.3</v>
      </c>
      <c r="E442">
        <v>1.0999999999999999E-2</v>
      </c>
      <c r="F442">
        <v>45</v>
      </c>
      <c r="G442" t="str">
        <f>HYPERLINK("https://www.ncbi.nlm.nih.gov/nucleotide/XM_040922467.1?report=genbank&amp;log$=nucltop&amp;blast_rank=30&amp;RID=GYRXJR59013","XM_040922467.1")</f>
        <v>XM_040922467.1</v>
      </c>
    </row>
    <row r="443" spans="1:7" x14ac:dyDescent="0.35">
      <c r="A443" t="s">
        <v>597</v>
      </c>
      <c r="B443">
        <v>140</v>
      </c>
      <c r="C443">
        <v>181</v>
      </c>
      <c r="D443" s="2">
        <v>0.89</v>
      </c>
      <c r="E443" s="3">
        <v>3.9999999999999998E-36</v>
      </c>
      <c r="F443">
        <v>44.68</v>
      </c>
      <c r="G443" t="str">
        <f>HYPERLINK("https://www.ncbi.nlm.nih.gov/nucleotide/CP068000.1?report=genbank&amp;log$=nucltop&amp;blast_rank=31&amp;RID=GYRXJR59013","CP068000.1")</f>
        <v>CP068000.1</v>
      </c>
    </row>
    <row r="444" spans="1:7" x14ac:dyDescent="0.35">
      <c r="A444" t="s">
        <v>601</v>
      </c>
      <c r="B444">
        <v>54.3</v>
      </c>
      <c r="C444">
        <v>54.3</v>
      </c>
      <c r="D444" s="2">
        <v>0.35</v>
      </c>
      <c r="E444" s="3">
        <v>8.0000000000000007E-5</v>
      </c>
      <c r="F444">
        <v>43.66</v>
      </c>
      <c r="G444" t="str">
        <f>HYPERLINK("https://www.ncbi.nlm.nih.gov/nucleotide/XM_013525843.1?report=genbank&amp;log$=nucltop&amp;blast_rank=32&amp;RID=GYRXJR59013","XM_013525843.1")</f>
        <v>XM_013525843.1</v>
      </c>
    </row>
    <row r="445" spans="1:7" x14ac:dyDescent="0.35">
      <c r="A445" t="s">
        <v>599</v>
      </c>
      <c r="B445">
        <v>159</v>
      </c>
      <c r="C445">
        <v>159</v>
      </c>
      <c r="D445" s="2">
        <v>0.9</v>
      </c>
      <c r="E445" s="3">
        <v>4E-41</v>
      </c>
      <c r="F445">
        <v>43.36</v>
      </c>
      <c r="G445" t="str">
        <f>HYPERLINK("https://www.ncbi.nlm.nih.gov/nucleotide/CP015462.1?report=genbank&amp;log$=nucltop&amp;blast_rank=33&amp;RID=GYRXJR59013","CP015462.1")</f>
        <v>CP015462.1</v>
      </c>
    </row>
    <row r="446" spans="1:7" x14ac:dyDescent="0.35">
      <c r="A446" t="s">
        <v>600</v>
      </c>
      <c r="B446">
        <v>159</v>
      </c>
      <c r="C446">
        <v>159</v>
      </c>
      <c r="D446" s="2">
        <v>0.9</v>
      </c>
      <c r="E446" s="3">
        <v>4E-41</v>
      </c>
      <c r="F446">
        <v>43.36</v>
      </c>
      <c r="G446" t="str">
        <f>HYPERLINK("https://www.ncbi.nlm.nih.gov/nucleotide/CP039878.1?report=genbank&amp;log$=nucltop&amp;blast_rank=34&amp;RID=GYRXJR59013","CP039878.1")</f>
        <v>CP039878.1</v>
      </c>
    </row>
    <row r="447" spans="1:7" x14ac:dyDescent="0.35">
      <c r="A447" t="s">
        <v>602</v>
      </c>
      <c r="B447">
        <v>109</v>
      </c>
      <c r="C447">
        <v>200</v>
      </c>
      <c r="D447" s="2">
        <v>0.9</v>
      </c>
      <c r="E447" s="3">
        <v>7.9999999999999994E-24</v>
      </c>
      <c r="F447">
        <v>43.36</v>
      </c>
      <c r="G447" t="str">
        <f>HYPERLINK("https://www.ncbi.nlm.nih.gov/nucleotide/CP015475.1?report=genbank&amp;log$=nucltop&amp;blast_rank=35&amp;RID=GYRXJR59013","CP015475.1")</f>
        <v>CP015475.1</v>
      </c>
    </row>
    <row r="448" spans="1:7" x14ac:dyDescent="0.35">
      <c r="A448" t="s">
        <v>603</v>
      </c>
      <c r="B448">
        <v>50.1</v>
      </c>
      <c r="C448">
        <v>50.1</v>
      </c>
      <c r="D448" s="2">
        <v>0.3</v>
      </c>
      <c r="E448">
        <v>3.0000000000000001E-3</v>
      </c>
      <c r="F448">
        <v>41.94</v>
      </c>
      <c r="G448" t="str">
        <f>HYPERLINK("https://www.ncbi.nlm.nih.gov/nucleotide/XM_020268649.1?report=genbank&amp;log$=nucltop&amp;blast_rank=36&amp;RID=GYRXJR59013","XM_020268649.1")</f>
        <v>XM_020268649.1</v>
      </c>
    </row>
    <row r="449" spans="1:7" x14ac:dyDescent="0.35">
      <c r="A449" t="s">
        <v>870</v>
      </c>
      <c r="B449">
        <v>46.6</v>
      </c>
      <c r="C449">
        <v>46.6</v>
      </c>
      <c r="D449" s="2">
        <v>0.3</v>
      </c>
      <c r="E449">
        <v>2.4E-2</v>
      </c>
      <c r="F449">
        <v>41.94</v>
      </c>
      <c r="G449" t="str">
        <f>HYPERLINK("https://www.ncbi.nlm.nih.gov/nucleotide/XM_024549805.1?report=genbank&amp;log$=nucltop&amp;blast_rank=37&amp;RID=GYRXJR59013","XM_024549805.1")</f>
        <v>XM_024549805.1</v>
      </c>
    </row>
    <row r="450" spans="1:7" x14ac:dyDescent="0.35">
      <c r="A450" t="s">
        <v>609</v>
      </c>
      <c r="B450">
        <v>102</v>
      </c>
      <c r="C450">
        <v>197</v>
      </c>
      <c r="D450" s="2">
        <v>0.89</v>
      </c>
      <c r="E450" s="3">
        <v>2.0000000000000001E-22</v>
      </c>
      <c r="F450">
        <v>41.29</v>
      </c>
      <c r="G450" t="str">
        <f>HYPERLINK("https://www.ncbi.nlm.nih.gov/nucleotide/AB508816.1?report=genbank&amp;log$=nucltop&amp;blast_rank=38&amp;RID=GYRXJR59013","AB508816.1")</f>
        <v>AB508816.1</v>
      </c>
    </row>
    <row r="451" spans="1:7" x14ac:dyDescent="0.35">
      <c r="A451" t="s">
        <v>871</v>
      </c>
      <c r="B451">
        <v>49.3</v>
      </c>
      <c r="C451">
        <v>49.3</v>
      </c>
      <c r="D451" s="2">
        <v>0.3</v>
      </c>
      <c r="E451">
        <v>1E-3</v>
      </c>
      <c r="F451">
        <v>40.98</v>
      </c>
      <c r="G451" t="str">
        <f>HYPERLINK("https://www.ncbi.nlm.nih.gov/nucleotide/XM_040925503.1?report=genbank&amp;log$=nucltop&amp;blast_rank=39&amp;RID=GYRXJR59013","XM_040925503.1")</f>
        <v>XM_040925503.1</v>
      </c>
    </row>
    <row r="452" spans="1:7" x14ac:dyDescent="0.35">
      <c r="A452" t="s">
        <v>593</v>
      </c>
      <c r="B452">
        <v>47.4</v>
      </c>
      <c r="C452">
        <v>47.4</v>
      </c>
      <c r="D452" s="2">
        <v>0.3</v>
      </c>
      <c r="E452">
        <v>2.7E-2</v>
      </c>
      <c r="F452">
        <v>40.98</v>
      </c>
      <c r="G452" t="str">
        <f>HYPERLINK("https://www.ncbi.nlm.nih.gov/nucleotide/CP064903.1?report=genbank&amp;log$=nucltop&amp;blast_rank=40&amp;RID=GYRXJR59013","CP064903.1")</f>
        <v>CP064903.1</v>
      </c>
    </row>
    <row r="453" spans="1:7" x14ac:dyDescent="0.35">
      <c r="A453" t="s">
        <v>612</v>
      </c>
      <c r="B453">
        <v>59.7</v>
      </c>
      <c r="C453">
        <v>59.7</v>
      </c>
      <c r="D453" s="2">
        <v>0.59</v>
      </c>
      <c r="E453" s="3">
        <v>2.9999999999999999E-7</v>
      </c>
      <c r="F453">
        <v>39.5</v>
      </c>
      <c r="G453" t="str">
        <f>HYPERLINK("https://www.ncbi.nlm.nih.gov/nucleotide/XM_013568610.1?report=genbank&amp;log$=nucltop&amp;blast_rank=41&amp;RID=GYRXJR59013","XM_013568610.1")</f>
        <v>XM_013568610.1</v>
      </c>
    </row>
    <row r="454" spans="1:7" x14ac:dyDescent="0.35">
      <c r="A454" t="s">
        <v>872</v>
      </c>
      <c r="B454">
        <v>47.8</v>
      </c>
      <c r="C454">
        <v>47.8</v>
      </c>
      <c r="D454" s="2">
        <v>0.45</v>
      </c>
      <c r="E454">
        <v>1.2999999999999999E-2</v>
      </c>
      <c r="F454">
        <v>38.89</v>
      </c>
      <c r="G454" t="str">
        <f>HYPERLINK("https://www.ncbi.nlm.nih.gov/nucleotide/XM_039056015.1?report=genbank&amp;log$=nucltop&amp;blast_rank=42&amp;RID=GYRXJR59013","XM_039056015.1")</f>
        <v>XM_039056015.1</v>
      </c>
    </row>
    <row r="455" spans="1:7" x14ac:dyDescent="0.35">
      <c r="A455" t="s">
        <v>610</v>
      </c>
      <c r="B455">
        <v>132</v>
      </c>
      <c r="C455">
        <v>132</v>
      </c>
      <c r="D455" s="2">
        <v>0.82</v>
      </c>
      <c r="E455" s="3">
        <v>2.0000000000000002E-31</v>
      </c>
      <c r="F455">
        <v>38.65</v>
      </c>
      <c r="G455" t="str">
        <f>HYPERLINK("https://www.ncbi.nlm.nih.gov/nucleotide/CP019381.1?report=genbank&amp;log$=nucltop&amp;blast_rank=43&amp;RID=GYRXJR59013","CP019381.1")</f>
        <v>CP019381.1</v>
      </c>
    </row>
    <row r="456" spans="1:7" x14ac:dyDescent="0.35">
      <c r="A456" t="s">
        <v>578</v>
      </c>
      <c r="B456">
        <v>50.8</v>
      </c>
      <c r="C456">
        <v>50.8</v>
      </c>
      <c r="D456" s="2">
        <v>0.42</v>
      </c>
      <c r="E456">
        <v>1E-3</v>
      </c>
      <c r="F456">
        <v>37.65</v>
      </c>
      <c r="G456" t="str">
        <f>HYPERLINK("https://www.ncbi.nlm.nih.gov/nucleotide/XM_024830164.1?report=genbank&amp;log$=nucltop&amp;blast_rank=44&amp;RID=GYRXJR59013","XM_024830164.1")</f>
        <v>XM_024830164.1</v>
      </c>
    </row>
    <row r="457" spans="1:7" x14ac:dyDescent="0.35">
      <c r="A457" t="s">
        <v>596</v>
      </c>
      <c r="B457">
        <v>46.6</v>
      </c>
      <c r="C457">
        <v>46.6</v>
      </c>
      <c r="D457" s="2">
        <v>0.3</v>
      </c>
      <c r="E457">
        <v>3.4000000000000002E-2</v>
      </c>
      <c r="F457">
        <v>37.1</v>
      </c>
      <c r="G457" t="str">
        <f>HYPERLINK("https://www.ncbi.nlm.nih.gov/nucleotide/XM_014317887.1?report=genbank&amp;log$=nucltop&amp;blast_rank=45&amp;RID=GYRXJR59013","XM_014317887.1")</f>
        <v>XM_014317887.1</v>
      </c>
    </row>
    <row r="458" spans="1:7" x14ac:dyDescent="0.35">
      <c r="A458" t="s">
        <v>873</v>
      </c>
      <c r="B458">
        <v>55.5</v>
      </c>
      <c r="C458">
        <v>110</v>
      </c>
      <c r="D458" s="2">
        <v>0.57999999999999996</v>
      </c>
      <c r="E458" s="3">
        <v>5.0000000000000002E-5</v>
      </c>
      <c r="F458">
        <v>37.07</v>
      </c>
      <c r="G458" t="str">
        <f>HYPERLINK("https://www.ncbi.nlm.nih.gov/nucleotide/CP061997.1?report=genbank&amp;log$=nucltop&amp;blast_rank=46&amp;RID=GYRXJR59013","CP061997.1")</f>
        <v>CP061997.1</v>
      </c>
    </row>
    <row r="459" spans="1:7" x14ac:dyDescent="0.35">
      <c r="A459" t="s">
        <v>874</v>
      </c>
      <c r="B459">
        <v>60.5</v>
      </c>
      <c r="C459">
        <v>60.5</v>
      </c>
      <c r="D459" s="2">
        <v>0.68</v>
      </c>
      <c r="E459" s="3">
        <v>9.9999999999999995E-8</v>
      </c>
      <c r="F459">
        <v>36.549999999999997</v>
      </c>
      <c r="G459" t="str">
        <f>HYPERLINK("https://www.ncbi.nlm.nih.gov/nucleotide/XM_041025904.1?report=genbank&amp;log$=nucltop&amp;blast_rank=47&amp;RID=GYRXJR59013","XM_041025904.1")</f>
        <v>XM_041025904.1</v>
      </c>
    </row>
    <row r="460" spans="1:7" x14ac:dyDescent="0.35">
      <c r="A460" t="s">
        <v>619</v>
      </c>
      <c r="B460">
        <v>59.3</v>
      </c>
      <c r="C460">
        <v>59.3</v>
      </c>
      <c r="D460" s="2">
        <v>0.68</v>
      </c>
      <c r="E460" s="3">
        <v>6.9999999999999997E-7</v>
      </c>
      <c r="F460">
        <v>36.549999999999997</v>
      </c>
      <c r="G460" t="str">
        <f>HYPERLINK("https://www.ncbi.nlm.nih.gov/nucleotide/XM_029909166.1?report=genbank&amp;log$=nucltop&amp;blast_rank=48&amp;RID=GYRXJR59013","XM_029909166.1")</f>
        <v>XM_029909166.1</v>
      </c>
    </row>
    <row r="461" spans="1:7" x14ac:dyDescent="0.35">
      <c r="A461" t="s">
        <v>582</v>
      </c>
      <c r="B461">
        <v>50.8</v>
      </c>
      <c r="C461">
        <v>50.8</v>
      </c>
      <c r="D461" s="2">
        <v>0.42</v>
      </c>
      <c r="E461">
        <v>1E-3</v>
      </c>
      <c r="F461">
        <v>36.47</v>
      </c>
      <c r="G461" t="str">
        <f>HYPERLINK("https://www.ncbi.nlm.nih.gov/nucleotide/XM_026755757.1?report=genbank&amp;log$=nucltop&amp;blast_rank=49&amp;RID=GYRXJR59013","XM_026755757.1")</f>
        <v>XM_026755757.1</v>
      </c>
    </row>
    <row r="462" spans="1:7" x14ac:dyDescent="0.35">
      <c r="A462" t="s">
        <v>581</v>
      </c>
      <c r="B462">
        <v>50.1</v>
      </c>
      <c r="C462">
        <v>50.1</v>
      </c>
      <c r="D462" s="2">
        <v>0.42</v>
      </c>
      <c r="E462">
        <v>2E-3</v>
      </c>
      <c r="F462">
        <v>36.47</v>
      </c>
      <c r="G462" t="str">
        <f>HYPERLINK("https://www.ncbi.nlm.nih.gov/nucleotide/XM_033562645.1?report=genbank&amp;log$=nucltop&amp;blast_rank=50&amp;RID=GYRXJR59013","XM_033562645.1")</f>
        <v>XM_033562645.1</v>
      </c>
    </row>
    <row r="463" spans="1:7" x14ac:dyDescent="0.35">
      <c r="A463" t="s">
        <v>614</v>
      </c>
      <c r="B463">
        <v>50.4</v>
      </c>
      <c r="C463">
        <v>50.4</v>
      </c>
      <c r="D463" s="2">
        <v>0.42</v>
      </c>
      <c r="E463">
        <v>2E-3</v>
      </c>
      <c r="F463">
        <v>36.47</v>
      </c>
      <c r="G463" t="str">
        <f>HYPERLINK("https://www.ncbi.nlm.nih.gov/nucleotide/XM_024920487.1?report=genbank&amp;log$=nucltop&amp;blast_rank=51&amp;RID=GYRXJR59013","XM_024920487.1")</f>
        <v>XM_024920487.1</v>
      </c>
    </row>
    <row r="464" spans="1:7" x14ac:dyDescent="0.35">
      <c r="A464" t="s">
        <v>587</v>
      </c>
      <c r="B464">
        <v>50.1</v>
      </c>
      <c r="C464">
        <v>50.1</v>
      </c>
      <c r="D464" s="2">
        <v>0.42</v>
      </c>
      <c r="E464">
        <v>4.0000000000000001E-3</v>
      </c>
      <c r="F464">
        <v>36.47</v>
      </c>
      <c r="G464" t="str">
        <f>HYPERLINK("https://www.ncbi.nlm.nih.gov/nucleotide/CP066510.1?report=genbank&amp;log$=nucltop&amp;blast_rank=52&amp;RID=GYRXJR59013","CP066510.1")</f>
        <v>CP066510.1</v>
      </c>
    </row>
    <row r="465" spans="1:7" x14ac:dyDescent="0.35">
      <c r="A465" t="s">
        <v>875</v>
      </c>
      <c r="B465">
        <v>47</v>
      </c>
      <c r="C465">
        <v>47</v>
      </c>
      <c r="D465" s="2">
        <v>0.42</v>
      </c>
      <c r="E465">
        <v>2.7E-2</v>
      </c>
      <c r="F465">
        <v>36.47</v>
      </c>
      <c r="G465" t="str">
        <f>HYPERLINK("https://www.ncbi.nlm.nih.gov/nucleotide/XM_014093435.1?report=genbank&amp;log$=nucltop&amp;blast_rank=53&amp;RID=GYRXJR59013","XM_014093435.1")</f>
        <v>XM_014093435.1</v>
      </c>
    </row>
    <row r="466" spans="1:7" x14ac:dyDescent="0.35">
      <c r="A466" t="s">
        <v>594</v>
      </c>
      <c r="B466">
        <v>50.8</v>
      </c>
      <c r="C466">
        <v>50.8</v>
      </c>
      <c r="D466" s="2">
        <v>0.44</v>
      </c>
      <c r="E466" s="3">
        <v>4.0000000000000002E-4</v>
      </c>
      <c r="F466">
        <v>35.96</v>
      </c>
      <c r="G466" t="str">
        <f>HYPERLINK("https://www.ncbi.nlm.nih.gov/nucleotide/XM_032047508.1?report=genbank&amp;log$=nucltop&amp;blast_rank=54&amp;RID=GYRXJR59013","XM_032047508.1")</f>
        <v>XM_032047508.1</v>
      </c>
    </row>
    <row r="467" spans="1:7" x14ac:dyDescent="0.35">
      <c r="A467" t="s">
        <v>613</v>
      </c>
      <c r="B467">
        <v>47.4</v>
      </c>
      <c r="C467">
        <v>47.4</v>
      </c>
      <c r="D467" s="2">
        <v>0.44</v>
      </c>
      <c r="E467">
        <v>1.4E-2</v>
      </c>
      <c r="F467">
        <v>35.96</v>
      </c>
      <c r="G467" t="str">
        <f>HYPERLINK("https://www.ncbi.nlm.nih.gov/nucleotide/XM_014097368.1?report=genbank&amp;log$=nucltop&amp;blast_rank=55&amp;RID=GYRXJR59013","XM_014097368.1")</f>
        <v>XM_014097368.1</v>
      </c>
    </row>
    <row r="468" spans="1:7" x14ac:dyDescent="0.35">
      <c r="A468" t="s">
        <v>627</v>
      </c>
      <c r="B468">
        <v>48.1</v>
      </c>
      <c r="C468">
        <v>48.1</v>
      </c>
      <c r="D468" s="2">
        <v>0.42</v>
      </c>
      <c r="E468">
        <v>5.0000000000000001E-3</v>
      </c>
      <c r="F468">
        <v>35.29</v>
      </c>
      <c r="G468" t="str">
        <f>HYPERLINK("https://www.ncbi.nlm.nih.gov/nucleotide/XM_031151746.1?report=genbank&amp;log$=nucltop&amp;blast_rank=56&amp;RID=GYRXJR59013","XM_031151746.1")</f>
        <v>XM_031151746.1</v>
      </c>
    </row>
    <row r="469" spans="1:7" x14ac:dyDescent="0.35">
      <c r="A469" t="s">
        <v>588</v>
      </c>
      <c r="B469">
        <v>48.5</v>
      </c>
      <c r="C469">
        <v>48.5</v>
      </c>
      <c r="D469" s="2">
        <v>0.42</v>
      </c>
      <c r="E469">
        <v>8.0000000000000002E-3</v>
      </c>
      <c r="F469">
        <v>35.29</v>
      </c>
      <c r="G469" t="str">
        <f>HYPERLINK("https://www.ncbi.nlm.nih.gov/nucleotide/KF233752.1?report=genbank&amp;log$=nucltop&amp;blast_rank=57&amp;RID=GYRXJR59013","KF233752.1")</f>
        <v>KF233752.1</v>
      </c>
    </row>
    <row r="470" spans="1:7" x14ac:dyDescent="0.35">
      <c r="A470" t="s">
        <v>592</v>
      </c>
      <c r="B470">
        <v>47.8</v>
      </c>
      <c r="C470">
        <v>47.8</v>
      </c>
      <c r="D470" s="2">
        <v>0.42</v>
      </c>
      <c r="E470">
        <v>0.02</v>
      </c>
      <c r="F470">
        <v>35.29</v>
      </c>
      <c r="G470" t="str">
        <f>HYPERLINK("https://www.ncbi.nlm.nih.gov/nucleotide/EU855738.1?report=genbank&amp;log$=nucltop&amp;blast_rank=58&amp;RID=GYRXJR59013","EU855738.1")</f>
        <v>EU855738.1</v>
      </c>
    </row>
    <row r="471" spans="1:7" x14ac:dyDescent="0.35">
      <c r="A471" t="s">
        <v>876</v>
      </c>
      <c r="B471">
        <v>47</v>
      </c>
      <c r="C471">
        <v>47</v>
      </c>
      <c r="D471" s="2">
        <v>0.42</v>
      </c>
      <c r="E471">
        <v>2.3E-2</v>
      </c>
      <c r="F471">
        <v>35.29</v>
      </c>
      <c r="G471" t="str">
        <f>HYPERLINK("https://www.ncbi.nlm.nih.gov/nucleotide/XM_024901619.1?report=genbank&amp;log$=nucltop&amp;blast_rank=59&amp;RID=GYRXJR59013","XM_024901619.1")</f>
        <v>XM_024901619.1</v>
      </c>
    </row>
    <row r="472" spans="1:7" x14ac:dyDescent="0.35">
      <c r="A472" t="s">
        <v>877</v>
      </c>
      <c r="B472">
        <v>46.2</v>
      </c>
      <c r="C472">
        <v>46.2</v>
      </c>
      <c r="D472" s="2">
        <v>0.42</v>
      </c>
      <c r="E472">
        <v>3.5999999999999997E-2</v>
      </c>
      <c r="F472">
        <v>35.29</v>
      </c>
      <c r="G472" t="str">
        <f>HYPERLINK("https://www.ncbi.nlm.nih.gov/nucleotide/XM_024924002.1?report=genbank&amp;log$=nucltop&amp;blast_rank=60&amp;RID=GYRXJR59013","XM_024924002.1")</f>
        <v>XM_024924002.1</v>
      </c>
    </row>
    <row r="473" spans="1:7" x14ac:dyDescent="0.35">
      <c r="A473" t="s">
        <v>878</v>
      </c>
      <c r="B473">
        <v>46.2</v>
      </c>
      <c r="C473">
        <v>46.2</v>
      </c>
      <c r="D473" s="2">
        <v>0.42</v>
      </c>
      <c r="E473">
        <v>3.7999999999999999E-2</v>
      </c>
      <c r="F473">
        <v>35.29</v>
      </c>
      <c r="G473" t="str">
        <f>HYPERLINK("https://www.ncbi.nlm.nih.gov/nucleotide/XM_024891493.1?report=genbank&amp;log$=nucltop&amp;blast_rank=61&amp;RID=GYRXJR59013","XM_024891493.1")</f>
        <v>XM_024891493.1</v>
      </c>
    </row>
    <row r="474" spans="1:7" x14ac:dyDescent="0.35">
      <c r="A474" t="s">
        <v>879</v>
      </c>
      <c r="B474">
        <v>47</v>
      </c>
      <c r="C474">
        <v>47</v>
      </c>
      <c r="D474" s="2">
        <v>0.42</v>
      </c>
      <c r="E474">
        <v>4.1000000000000002E-2</v>
      </c>
      <c r="F474">
        <v>35.29</v>
      </c>
      <c r="G474" t="str">
        <f>HYPERLINK("https://www.ncbi.nlm.nih.gov/nucleotide/CP072831.1?report=genbank&amp;log$=nucltop&amp;blast_rank=62&amp;RID=GYRXJR59013","CP072831.1")</f>
        <v>CP072831.1</v>
      </c>
    </row>
    <row r="475" spans="1:7" x14ac:dyDescent="0.35">
      <c r="A475" t="s">
        <v>623</v>
      </c>
      <c r="B475">
        <v>60.1</v>
      </c>
      <c r="C475">
        <v>60.1</v>
      </c>
      <c r="D475" s="2">
        <v>0.56000000000000005</v>
      </c>
      <c r="E475" s="3">
        <v>1.9999999999999999E-7</v>
      </c>
      <c r="F475">
        <v>34.86</v>
      </c>
      <c r="G475" t="str">
        <f>HYPERLINK("https://www.ncbi.nlm.nih.gov/nucleotide/XM_020270009.1?report=genbank&amp;log$=nucltop&amp;blast_rank=63&amp;RID=GYRXJR59013","XM_020270009.1")</f>
        <v>XM_020270009.1</v>
      </c>
    </row>
    <row r="476" spans="1:7" x14ac:dyDescent="0.35">
      <c r="A476" t="s">
        <v>624</v>
      </c>
      <c r="B476">
        <v>60.1</v>
      </c>
      <c r="C476">
        <v>60.1</v>
      </c>
      <c r="D476" s="2">
        <v>0.56000000000000005</v>
      </c>
      <c r="E476" s="3">
        <v>2.9999999999999999E-7</v>
      </c>
      <c r="F476">
        <v>34.86</v>
      </c>
      <c r="G476" t="str">
        <f>HYPERLINK("https://www.ncbi.nlm.nih.gov/nucleotide/XM_035512815.1?report=genbank&amp;log$=nucltop&amp;blast_rank=64&amp;RID=GYRXJR59013","XM_035512815.1")</f>
        <v>XM_035512815.1</v>
      </c>
    </row>
    <row r="477" spans="1:7" x14ac:dyDescent="0.35">
      <c r="A477" t="s">
        <v>616</v>
      </c>
      <c r="B477">
        <v>49.7</v>
      </c>
      <c r="C477">
        <v>49.7</v>
      </c>
      <c r="D477" s="2">
        <v>0.47</v>
      </c>
      <c r="E477">
        <v>5.0000000000000001E-3</v>
      </c>
      <c r="F477">
        <v>34.74</v>
      </c>
      <c r="G477" t="str">
        <f>HYPERLINK("https://www.ncbi.nlm.nih.gov/nucleotide/CP036226.1?report=genbank&amp;log$=nucltop&amp;blast_rank=65&amp;RID=GYRXJR59013","CP036226.1")</f>
        <v>CP036226.1</v>
      </c>
    </row>
    <row r="478" spans="1:7" x14ac:dyDescent="0.35">
      <c r="A478" t="s">
        <v>615</v>
      </c>
      <c r="B478">
        <v>66.599999999999994</v>
      </c>
      <c r="C478">
        <v>66.599999999999994</v>
      </c>
      <c r="D478" s="2">
        <v>0.65</v>
      </c>
      <c r="E478" s="3">
        <v>5.0000000000000003E-10</v>
      </c>
      <c r="F478">
        <v>34.380000000000003</v>
      </c>
      <c r="G478" t="str">
        <f>HYPERLINK("https://www.ncbi.nlm.nih.gov/nucleotide/XM_019168695.1?report=genbank&amp;log$=nucltop&amp;blast_rank=66&amp;RID=GYRXJR59013","XM_019168695.1")</f>
        <v>XM_019168695.1</v>
      </c>
    </row>
    <row r="479" spans="1:7" x14ac:dyDescent="0.35">
      <c r="A479" t="s">
        <v>617</v>
      </c>
      <c r="B479">
        <v>79</v>
      </c>
      <c r="C479">
        <v>79</v>
      </c>
      <c r="D479" s="2">
        <v>0.84</v>
      </c>
      <c r="E479" s="3">
        <v>5.0000000000000002E-14</v>
      </c>
      <c r="F479">
        <v>34.1</v>
      </c>
      <c r="G479" t="str">
        <f>HYPERLINK("https://www.ncbi.nlm.nih.gov/nucleotide/XM_019169100.1?report=genbank&amp;log$=nucltop&amp;blast_rank=67&amp;RID=GYRXJR59013","XM_019169100.1")</f>
        <v>XM_019169100.1</v>
      </c>
    </row>
    <row r="480" spans="1:7" x14ac:dyDescent="0.35">
      <c r="A480" t="s">
        <v>620</v>
      </c>
      <c r="B480">
        <v>54.3</v>
      </c>
      <c r="C480">
        <v>54.3</v>
      </c>
      <c r="D480" s="2">
        <v>0.66</v>
      </c>
      <c r="E480" s="3">
        <v>1E-4</v>
      </c>
      <c r="F480">
        <v>34.04</v>
      </c>
      <c r="G480" t="str">
        <f>HYPERLINK("https://www.ncbi.nlm.nih.gov/nucleotide/CP055902.1?report=genbank&amp;log$=nucltop&amp;blast_rank=68&amp;RID=GYRXJR59013","CP055902.1")</f>
        <v>CP055902.1</v>
      </c>
    </row>
    <row r="481" spans="1:7" x14ac:dyDescent="0.35">
      <c r="A481" t="s">
        <v>252</v>
      </c>
      <c r="B481">
        <v>60.8</v>
      </c>
      <c r="C481">
        <v>60.8</v>
      </c>
      <c r="D481" s="2">
        <v>0.66</v>
      </c>
      <c r="E481" s="3">
        <v>3.9999999999999998E-7</v>
      </c>
      <c r="F481">
        <v>33.81</v>
      </c>
      <c r="G481" t="str">
        <f>HYPERLINK("https://www.ncbi.nlm.nih.gov/nucleotide/XM_018185011.1?report=genbank&amp;log$=nucltop&amp;blast_rank=69&amp;RID=GYRXJR59013","XM_018185011.1")</f>
        <v>XM_018185011.1</v>
      </c>
    </row>
    <row r="482" spans="1:7" x14ac:dyDescent="0.35">
      <c r="A482" t="s">
        <v>164</v>
      </c>
      <c r="B482">
        <v>60.8</v>
      </c>
      <c r="C482">
        <v>60.8</v>
      </c>
      <c r="D482" s="2">
        <v>0.66</v>
      </c>
      <c r="E482" s="3">
        <v>5.9999999999999997E-7</v>
      </c>
      <c r="F482">
        <v>33.81</v>
      </c>
      <c r="G482" t="str">
        <f>HYPERLINK("https://www.ncbi.nlm.nih.gov/nucleotide/XM_009160507.1?report=genbank&amp;log$=nucltop&amp;blast_rank=70&amp;RID=GYRXJR59013","XM_009160507.1")</f>
        <v>XM_009160507.1</v>
      </c>
    </row>
    <row r="483" spans="1:7" x14ac:dyDescent="0.35">
      <c r="A483" t="s">
        <v>612</v>
      </c>
      <c r="B483">
        <v>57</v>
      </c>
      <c r="C483">
        <v>57</v>
      </c>
      <c r="D483" s="2">
        <v>0.59</v>
      </c>
      <c r="E483" s="3">
        <v>3.0000000000000001E-6</v>
      </c>
      <c r="F483">
        <v>33.33</v>
      </c>
      <c r="G483" t="str">
        <f>HYPERLINK("https://www.ncbi.nlm.nih.gov/nucleotide/XM_013568568.1?report=genbank&amp;log$=nucltop&amp;blast_rank=71&amp;RID=GYRXJR59013","XM_013568568.1")</f>
        <v>XM_013568568.1</v>
      </c>
    </row>
    <row r="484" spans="1:7" x14ac:dyDescent="0.35">
      <c r="A484" t="s">
        <v>608</v>
      </c>
      <c r="B484">
        <v>56.2</v>
      </c>
      <c r="C484">
        <v>56.2</v>
      </c>
      <c r="D484" s="2">
        <v>0.59</v>
      </c>
      <c r="E484" s="3">
        <v>1.0000000000000001E-5</v>
      </c>
      <c r="F484">
        <v>33.33</v>
      </c>
      <c r="G484" t="str">
        <f>HYPERLINK("https://www.ncbi.nlm.nih.gov/nucleotide/XM_018145729.1?report=genbank&amp;log$=nucltop&amp;blast_rank=72&amp;RID=GYRXJR59013","XM_018145729.1")</f>
        <v>XM_018145729.1</v>
      </c>
    </row>
    <row r="485" spans="1:7" x14ac:dyDescent="0.35">
      <c r="A485" t="s">
        <v>618</v>
      </c>
      <c r="B485">
        <v>60.8</v>
      </c>
      <c r="C485">
        <v>60.8</v>
      </c>
      <c r="D485" s="2">
        <v>0.66</v>
      </c>
      <c r="E485" s="3">
        <v>3.9999999999999998E-7</v>
      </c>
      <c r="F485">
        <v>33.090000000000003</v>
      </c>
      <c r="G485" t="str">
        <f>HYPERLINK("https://www.ncbi.nlm.nih.gov/nucleotide/XM_008726366.1?report=genbank&amp;log$=nucltop&amp;blast_rank=73&amp;RID=GYRXJR59013","XM_008726366.1")</f>
        <v>XM_008726366.1</v>
      </c>
    </row>
    <row r="486" spans="1:7" x14ac:dyDescent="0.35">
      <c r="A486" t="s">
        <v>626</v>
      </c>
      <c r="B486">
        <v>53.1</v>
      </c>
      <c r="C486">
        <v>53.1</v>
      </c>
      <c r="D486" s="2">
        <v>0.59</v>
      </c>
      <c r="E486" s="3">
        <v>2.0000000000000001E-4</v>
      </c>
      <c r="F486">
        <v>33.07</v>
      </c>
      <c r="G486" t="str">
        <f>HYPERLINK("https://www.ncbi.nlm.nih.gov/nucleotide/XM_037304152.1?report=genbank&amp;log$=nucltop&amp;blast_rank=74&amp;RID=GYRXJR59013","XM_037304152.1")</f>
        <v>XM_037304152.1</v>
      </c>
    </row>
    <row r="487" spans="1:7" x14ac:dyDescent="0.35">
      <c r="A487" t="s">
        <v>583</v>
      </c>
      <c r="B487">
        <v>50.4</v>
      </c>
      <c r="C487">
        <v>50.4</v>
      </c>
      <c r="D487" s="2">
        <v>0.42</v>
      </c>
      <c r="E487">
        <v>1E-3</v>
      </c>
      <c r="F487">
        <v>32.94</v>
      </c>
      <c r="G487" t="str">
        <f>HYPERLINK("https://www.ncbi.nlm.nih.gov/nucleotide/XM_001261624.1?report=genbank&amp;log$=nucltop&amp;blast_rank=75&amp;RID=GYRXJR59013","XM_001261624.1")</f>
        <v>XM_001261624.1</v>
      </c>
    </row>
    <row r="488" spans="1:7" x14ac:dyDescent="0.35">
      <c r="A488" t="s">
        <v>590</v>
      </c>
      <c r="B488">
        <v>49.7</v>
      </c>
      <c r="C488">
        <v>49.7</v>
      </c>
      <c r="D488" s="2">
        <v>0.42</v>
      </c>
      <c r="E488">
        <v>5.0000000000000001E-3</v>
      </c>
      <c r="F488">
        <v>32.94</v>
      </c>
      <c r="G488" t="str">
        <f>HYPERLINK("https://www.ncbi.nlm.nih.gov/nucleotide/CP045658.1?report=genbank&amp;log$=nucltop&amp;blast_rank=76&amp;RID=GYRXJR59013","CP045658.1")</f>
        <v>CP045658.1</v>
      </c>
    </row>
    <row r="489" spans="1:7" x14ac:dyDescent="0.35">
      <c r="A489" t="s">
        <v>591</v>
      </c>
      <c r="B489">
        <v>49.7</v>
      </c>
      <c r="C489">
        <v>49.7</v>
      </c>
      <c r="D489" s="2">
        <v>0.42</v>
      </c>
      <c r="E489">
        <v>5.0000000000000001E-3</v>
      </c>
      <c r="F489">
        <v>32.94</v>
      </c>
      <c r="G489" t="str">
        <f>HYPERLINK("https://www.ncbi.nlm.nih.gov/nucleotide/CP015872.1?report=genbank&amp;log$=nucltop&amp;blast_rank=77&amp;RID=GYRXJR59013","CP015872.1")</f>
        <v>CP015872.1</v>
      </c>
    </row>
    <row r="490" spans="1:7" x14ac:dyDescent="0.35">
      <c r="A490" t="s">
        <v>625</v>
      </c>
      <c r="B490">
        <v>54.7</v>
      </c>
      <c r="C490">
        <v>54.7</v>
      </c>
      <c r="D490" s="2">
        <v>0.66</v>
      </c>
      <c r="E490" s="3">
        <v>2.0000000000000002E-5</v>
      </c>
      <c r="F490">
        <v>32.869999999999997</v>
      </c>
      <c r="G490" t="str">
        <f>HYPERLINK("https://www.ncbi.nlm.nih.gov/nucleotide/XM_035492496.1?report=genbank&amp;log$=nucltop&amp;blast_rank=78&amp;RID=GYRXJR59013","XM_035492496.1")</f>
        <v>XM_035492496.1</v>
      </c>
    </row>
    <row r="491" spans="1:7" x14ac:dyDescent="0.35">
      <c r="A491" t="s">
        <v>254</v>
      </c>
      <c r="B491">
        <v>60.8</v>
      </c>
      <c r="C491">
        <v>60.8</v>
      </c>
      <c r="D491" s="2">
        <v>0.66</v>
      </c>
      <c r="E491" s="3">
        <v>7.0000000000000005E-8</v>
      </c>
      <c r="F491">
        <v>32.85</v>
      </c>
      <c r="G491" t="str">
        <f>HYPERLINK("https://www.ncbi.nlm.nih.gov/nucleotide/XM_018274774.1?report=genbank&amp;log$=nucltop&amp;blast_rank=79&amp;RID=GYRXJR59013","XM_018274774.1")</f>
        <v>XM_018274774.1</v>
      </c>
    </row>
    <row r="492" spans="1:7" x14ac:dyDescent="0.35">
      <c r="A492" t="s">
        <v>621</v>
      </c>
      <c r="B492">
        <v>60.8</v>
      </c>
      <c r="C492">
        <v>60.8</v>
      </c>
      <c r="D492" s="2">
        <v>0.66</v>
      </c>
      <c r="E492" s="3">
        <v>2.9999999999999999E-7</v>
      </c>
      <c r="F492">
        <v>32.369999999999997</v>
      </c>
      <c r="G492" t="str">
        <f>HYPERLINK("https://www.ncbi.nlm.nih.gov/nucleotide/XM_007758036.1?report=genbank&amp;log$=nucltop&amp;blast_rank=80&amp;RID=GYRXJR59013","XM_007758036.1")</f>
        <v>XM_007758036.1</v>
      </c>
    </row>
    <row r="493" spans="1:7" x14ac:dyDescent="0.35">
      <c r="A493" t="s">
        <v>586</v>
      </c>
      <c r="B493">
        <v>50.4</v>
      </c>
      <c r="C493">
        <v>50.4</v>
      </c>
      <c r="D493" s="2">
        <v>0.5</v>
      </c>
      <c r="E493">
        <v>1E-3</v>
      </c>
      <c r="F493">
        <v>32.32</v>
      </c>
      <c r="G493" t="str">
        <f>HYPERLINK("https://www.ncbi.nlm.nih.gov/nucleotide/XM_002150023.1?report=genbank&amp;log$=nucltop&amp;blast_rank=81&amp;RID=GYRXJR59013","XM_002150023.1")</f>
        <v>XM_002150023.1</v>
      </c>
    </row>
    <row r="494" spans="1:7" x14ac:dyDescent="0.35">
      <c r="A494" t="s">
        <v>880</v>
      </c>
      <c r="B494">
        <v>55.8</v>
      </c>
      <c r="C494">
        <v>55.8</v>
      </c>
      <c r="D494" s="2">
        <v>0.56000000000000005</v>
      </c>
      <c r="E494" s="3">
        <v>4.0000000000000003E-5</v>
      </c>
      <c r="F494">
        <v>32.11</v>
      </c>
      <c r="G494" t="str">
        <f>HYPERLINK("https://www.ncbi.nlm.nih.gov/nucleotide/CP061983.1?report=genbank&amp;log$=nucltop&amp;blast_rank=82&amp;RID=GYRXJR59013","CP061983.1")</f>
        <v>CP061983.1</v>
      </c>
    </row>
    <row r="495" spans="1:7" x14ac:dyDescent="0.35">
      <c r="A495" t="s">
        <v>881</v>
      </c>
      <c r="B495">
        <v>57</v>
      </c>
      <c r="C495">
        <v>113</v>
      </c>
      <c r="D495" s="2">
        <v>0.56000000000000005</v>
      </c>
      <c r="E495" s="3">
        <v>2.0000000000000002E-5</v>
      </c>
      <c r="F495">
        <v>31.19</v>
      </c>
      <c r="G495" t="str">
        <f>HYPERLINK("https://www.ncbi.nlm.nih.gov/nucleotide/CP061923.1?report=genbank&amp;log$=nucltop&amp;blast_rank=83&amp;RID=GYRXJR59013","CP061923.1")</f>
        <v>CP061923.1</v>
      </c>
    </row>
    <row r="496" spans="1:7" x14ac:dyDescent="0.35">
      <c r="A496" t="s">
        <v>632</v>
      </c>
      <c r="B496">
        <v>53.5</v>
      </c>
      <c r="C496">
        <v>53.5</v>
      </c>
      <c r="D496" s="2">
        <v>0.59</v>
      </c>
      <c r="E496" s="3">
        <v>2.0000000000000001E-4</v>
      </c>
      <c r="F496">
        <v>30.95</v>
      </c>
      <c r="G496" t="str">
        <f>HYPERLINK("https://www.ncbi.nlm.nih.gov/nucleotide/XM_037300507.1?report=genbank&amp;log$=nucltop&amp;blast_rank=84&amp;RID=GYRXJR59013","XM_037300507.1")</f>
        <v>XM_037300507.1</v>
      </c>
    </row>
    <row r="497" spans="1:7" x14ac:dyDescent="0.35">
      <c r="A497" t="s">
        <v>628</v>
      </c>
      <c r="B497">
        <v>45.4</v>
      </c>
      <c r="C497">
        <v>45.4</v>
      </c>
      <c r="D497" s="2">
        <v>0.66</v>
      </c>
      <c r="E497">
        <v>0.04</v>
      </c>
      <c r="F497">
        <v>29.29</v>
      </c>
      <c r="G497" t="str">
        <f>HYPERLINK("https://www.ncbi.nlm.nih.gov/nucleotide/XM_013469976.1?report=genbank&amp;log$=nucltop&amp;blast_rank=85&amp;RID=GYRXJR59013","XM_013469976.1")</f>
        <v>XM_013469976.1</v>
      </c>
    </row>
    <row r="498" spans="1:7" x14ac:dyDescent="0.35">
      <c r="A498" s="1" t="s">
        <v>925</v>
      </c>
    </row>
    <row r="499" spans="1:7" x14ac:dyDescent="0.35">
      <c r="A499" s="1" t="s">
        <v>2</v>
      </c>
      <c r="B499" s="1" t="s">
        <v>3</v>
      </c>
      <c r="C499" s="1" t="s">
        <v>4</v>
      </c>
      <c r="D499" s="1" t="s">
        <v>5</v>
      </c>
      <c r="E499" s="1" t="s">
        <v>6</v>
      </c>
      <c r="F499" s="1" t="s">
        <v>7</v>
      </c>
      <c r="G499" s="1" t="s">
        <v>8</v>
      </c>
    </row>
    <row r="500" spans="1:7" x14ac:dyDescent="0.35">
      <c r="A500" t="s">
        <v>37</v>
      </c>
      <c r="B500">
        <v>138</v>
      </c>
      <c r="C500">
        <v>273</v>
      </c>
      <c r="D500" s="2">
        <v>0.9</v>
      </c>
      <c r="E500" s="3">
        <v>1.0000000000000001E-63</v>
      </c>
      <c r="F500">
        <v>77.27</v>
      </c>
      <c r="G500" t="str">
        <f>HYPERLINK("https://www.ncbi.nlm.nih.gov/nucleotide/LR732085.1?report=genbank&amp;log$=nucltop&amp;blast_rank=1&amp;RID=GYTFJ3XW013","LR732085.1")</f>
        <v>LR732085.1</v>
      </c>
    </row>
    <row r="501" spans="1:7" x14ac:dyDescent="0.35">
      <c r="A501" t="s">
        <v>882</v>
      </c>
      <c r="B501">
        <v>49.3</v>
      </c>
      <c r="C501">
        <v>49.3</v>
      </c>
      <c r="D501" s="2">
        <v>0.15</v>
      </c>
      <c r="E501">
        <v>8.0000000000000002E-3</v>
      </c>
      <c r="F501">
        <v>71.88</v>
      </c>
      <c r="G501" t="str">
        <f>HYPERLINK("https://www.ncbi.nlm.nih.gov/nucleotide/CP059663.1?report=genbank&amp;log$=nucltop&amp;blast_rank=2&amp;RID=GYTFJ3XW013","CP059663.1")</f>
        <v>CP059663.1</v>
      </c>
    </row>
    <row r="502" spans="1:7" x14ac:dyDescent="0.35">
      <c r="A502" t="s">
        <v>405</v>
      </c>
      <c r="B502">
        <v>84</v>
      </c>
      <c r="C502">
        <v>84</v>
      </c>
      <c r="D502" s="2">
        <v>0.38</v>
      </c>
      <c r="E502" s="3">
        <v>1E-14</v>
      </c>
      <c r="F502">
        <v>54.76</v>
      </c>
      <c r="G502" t="str">
        <f>HYPERLINK("https://www.ncbi.nlm.nih.gov/nucleotide/CP019382.1?report=genbank&amp;log$=nucltop&amp;blast_rank=3&amp;RID=GYTFJ3XW013","CP019382.1")</f>
        <v>CP019382.1</v>
      </c>
    </row>
    <row r="503" spans="1:7" x14ac:dyDescent="0.35">
      <c r="A503" t="s">
        <v>544</v>
      </c>
      <c r="B503">
        <v>82</v>
      </c>
      <c r="C503">
        <v>82</v>
      </c>
      <c r="D503" s="2">
        <v>0.37</v>
      </c>
      <c r="E503" s="3">
        <v>1E-14</v>
      </c>
      <c r="F503">
        <v>54.43</v>
      </c>
      <c r="G503" t="str">
        <f>HYPERLINK("https://www.ncbi.nlm.nih.gov/nucleotide/XM_007387247.1?report=genbank&amp;log$=nucltop&amp;blast_rank=4&amp;RID=GYTFJ3XW013","XM_007387247.1")</f>
        <v>XM_007387247.1</v>
      </c>
    </row>
    <row r="504" spans="1:7" x14ac:dyDescent="0.35">
      <c r="A504" t="s">
        <v>109</v>
      </c>
      <c r="B504">
        <v>81.3</v>
      </c>
      <c r="C504">
        <v>81.3</v>
      </c>
      <c r="D504" s="2">
        <v>0.39</v>
      </c>
      <c r="E504" s="3">
        <v>2.9999999999999998E-14</v>
      </c>
      <c r="F504">
        <v>52.44</v>
      </c>
      <c r="G504" t="str">
        <f>HYPERLINK("https://www.ncbi.nlm.nih.gov/nucleotide/XM_007871865.1?report=genbank&amp;log$=nucltop&amp;blast_rank=5&amp;RID=GYTFJ3XW013","XM_007871865.1")</f>
        <v>XM_007871865.1</v>
      </c>
    </row>
    <row r="505" spans="1:7" x14ac:dyDescent="0.35">
      <c r="A505" t="s">
        <v>883</v>
      </c>
      <c r="B505">
        <v>67.400000000000006</v>
      </c>
      <c r="C505">
        <v>67.400000000000006</v>
      </c>
      <c r="D505" s="2">
        <v>0.32</v>
      </c>
      <c r="E505" s="3">
        <v>6E-9</v>
      </c>
      <c r="F505">
        <v>51.47</v>
      </c>
      <c r="G505" t="str">
        <f>HYPERLINK("https://www.ncbi.nlm.nih.gov/nucleotide/CP059631.1?report=genbank&amp;log$=nucltop&amp;blast_rank=6&amp;RID=GYTFJ3XW013","CP059631.1")</f>
        <v>CP059631.1</v>
      </c>
    </row>
    <row r="506" spans="1:7" x14ac:dyDescent="0.35">
      <c r="A506" t="s">
        <v>126</v>
      </c>
      <c r="B506">
        <v>77.400000000000006</v>
      </c>
      <c r="C506">
        <v>77.400000000000006</v>
      </c>
      <c r="D506" s="2">
        <v>0.38</v>
      </c>
      <c r="E506" s="3">
        <v>4.9999999999999999E-13</v>
      </c>
      <c r="F506">
        <v>51.25</v>
      </c>
      <c r="G506" t="str">
        <f>HYPERLINK("https://www.ncbi.nlm.nih.gov/nucleotide/XM_007776238.1?report=genbank&amp;log$=nucltop&amp;blast_rank=7&amp;RID=GYTFJ3XW013","XM_007776238.1")</f>
        <v>XM_007776238.1</v>
      </c>
    </row>
    <row r="507" spans="1:7" x14ac:dyDescent="0.35">
      <c r="A507" t="s">
        <v>548</v>
      </c>
      <c r="B507">
        <v>76.3</v>
      </c>
      <c r="C507">
        <v>76.3</v>
      </c>
      <c r="D507" s="2">
        <v>0.39</v>
      </c>
      <c r="E507" s="3">
        <v>9E-13</v>
      </c>
      <c r="F507">
        <v>51.16</v>
      </c>
      <c r="G507" t="str">
        <f>HYPERLINK("https://www.ncbi.nlm.nih.gov/nucleotide/LR724312.1?report=genbank&amp;log$=nucltop&amp;blast_rank=8&amp;RID=GYTFJ3XW013","LR724312.1")</f>
        <v>LR724312.1</v>
      </c>
    </row>
    <row r="508" spans="1:7" x14ac:dyDescent="0.35">
      <c r="A508" t="s">
        <v>381</v>
      </c>
      <c r="B508">
        <v>60.1</v>
      </c>
      <c r="C508">
        <v>60.1</v>
      </c>
      <c r="D508" s="2">
        <v>0.31</v>
      </c>
      <c r="E508" s="3">
        <v>1.9999999999999999E-6</v>
      </c>
      <c r="F508">
        <v>49.25</v>
      </c>
      <c r="G508" t="str">
        <f>HYPERLINK("https://www.ncbi.nlm.nih.gov/nucleotide/CP068008.1?report=genbank&amp;log$=nucltop&amp;blast_rank=9&amp;RID=GYTFJ3XW013","CP068008.1")</f>
        <v>CP068008.1</v>
      </c>
    </row>
    <row r="509" spans="1:7" x14ac:dyDescent="0.35">
      <c r="A509" t="s">
        <v>385</v>
      </c>
      <c r="B509">
        <v>63.9</v>
      </c>
      <c r="C509">
        <v>63.9</v>
      </c>
      <c r="D509" s="2">
        <v>0.32</v>
      </c>
      <c r="E509" s="3">
        <v>8.9999999999999999E-8</v>
      </c>
      <c r="F509">
        <v>48.53</v>
      </c>
      <c r="G509" t="str">
        <f>HYPERLINK("https://www.ncbi.nlm.nih.gov/nucleotide/CP015468.1?report=genbank&amp;log$=nucltop&amp;blast_rank=10&amp;RID=GYTFJ3XW013","CP015468.1")</f>
        <v>CP015468.1</v>
      </c>
    </row>
    <row r="510" spans="1:7" x14ac:dyDescent="0.35">
      <c r="A510" t="s">
        <v>382</v>
      </c>
      <c r="B510">
        <v>63.2</v>
      </c>
      <c r="C510">
        <v>63.2</v>
      </c>
      <c r="D510" s="2">
        <v>0.32</v>
      </c>
      <c r="E510" s="3">
        <v>1.9999999999999999E-7</v>
      </c>
      <c r="F510">
        <v>48.53</v>
      </c>
      <c r="G510" t="str">
        <f>HYPERLINK("https://www.ncbi.nlm.nih.gov/nucleotide/CP039884.1?report=genbank&amp;log$=nucltop&amp;blast_rank=11&amp;RID=GYTFJ3XW013","CP039884.1")</f>
        <v>CP039884.1</v>
      </c>
    </row>
    <row r="511" spans="1:7" x14ac:dyDescent="0.35">
      <c r="A511" t="s">
        <v>383</v>
      </c>
      <c r="B511">
        <v>63.2</v>
      </c>
      <c r="C511">
        <v>63.2</v>
      </c>
      <c r="D511" s="2">
        <v>0.32</v>
      </c>
      <c r="E511" s="3">
        <v>1.9999999999999999E-7</v>
      </c>
      <c r="F511">
        <v>48.53</v>
      </c>
      <c r="G511" t="str">
        <f>HYPERLINK("https://www.ncbi.nlm.nih.gov/nucleotide/CP015481.1?report=genbank&amp;log$=nucltop&amp;blast_rank=12&amp;RID=GYTFJ3XW013","CP015481.1")</f>
        <v>CP015481.1</v>
      </c>
    </row>
    <row r="512" spans="1:7" x14ac:dyDescent="0.35">
      <c r="A512" s="4" t="s">
        <v>494</v>
      </c>
      <c r="B512" s="4">
        <v>69.3</v>
      </c>
      <c r="C512" s="4">
        <v>69.3</v>
      </c>
      <c r="D512" s="5">
        <v>0.37</v>
      </c>
      <c r="E512" s="6">
        <v>8.9999999999999999E-10</v>
      </c>
      <c r="F512" s="4">
        <v>46.84</v>
      </c>
      <c r="G512" s="4" t="str">
        <f>HYPERLINK("https://www.ncbi.nlm.nih.gov/nucleotide/XM_001835028.2?report=genbank&amp;log$=nucltop&amp;blast_rank=13&amp;RID=GYTFJ3XW013","XM_001835028.2")</f>
        <v>XM_001835028.2</v>
      </c>
    </row>
    <row r="513" spans="1:7" x14ac:dyDescent="0.35">
      <c r="A513" t="s">
        <v>559</v>
      </c>
      <c r="B513">
        <v>63.5</v>
      </c>
      <c r="C513">
        <v>63.5</v>
      </c>
      <c r="D513" s="2">
        <v>0.37</v>
      </c>
      <c r="E513" s="3">
        <v>9.9999999999999995E-8</v>
      </c>
      <c r="F513">
        <v>45.57</v>
      </c>
      <c r="G513" t="str">
        <f>HYPERLINK("https://www.ncbi.nlm.nih.gov/nucleotide/XM_022025918.1?report=genbank&amp;log$=nucltop&amp;blast_rank=14&amp;RID=GYTFJ3XW013","XM_022025918.1")</f>
        <v>XM_022025918.1</v>
      </c>
    </row>
    <row r="514" spans="1:7" x14ac:dyDescent="0.35">
      <c r="A514" t="s">
        <v>884</v>
      </c>
      <c r="B514">
        <v>61.6</v>
      </c>
      <c r="C514">
        <v>61.6</v>
      </c>
      <c r="D514" s="2">
        <v>0.36</v>
      </c>
      <c r="E514" s="3">
        <v>1.9999999999999999E-7</v>
      </c>
      <c r="F514">
        <v>45.45</v>
      </c>
      <c r="G514" t="str">
        <f>HYPERLINK("https://www.ncbi.nlm.nih.gov/nucleotide/XM_040770470.1?report=genbank&amp;log$=nucltop&amp;blast_rank=15&amp;RID=GYTFJ3XW013","XM_040770470.1")</f>
        <v>XM_040770470.1</v>
      </c>
    </row>
    <row r="515" spans="1:7" x14ac:dyDescent="0.35">
      <c r="A515" t="s">
        <v>497</v>
      </c>
      <c r="B515">
        <v>60.5</v>
      </c>
      <c r="C515">
        <v>60.5</v>
      </c>
      <c r="D515" s="2">
        <v>0.36</v>
      </c>
      <c r="E515" s="3">
        <v>6.9999999999999997E-7</v>
      </c>
      <c r="F515">
        <v>45.45</v>
      </c>
      <c r="G515" t="str">
        <f>HYPERLINK("https://www.ncbi.nlm.nih.gov/nucleotide/XM_003195720.1?report=genbank&amp;log$=nucltop&amp;blast_rank=16&amp;RID=GYTFJ3XW013","XM_003195720.1")</f>
        <v>XM_003195720.1</v>
      </c>
    </row>
    <row r="516" spans="1:7" x14ac:dyDescent="0.35">
      <c r="A516" t="s">
        <v>561</v>
      </c>
      <c r="B516">
        <v>63.9</v>
      </c>
      <c r="C516">
        <v>63.9</v>
      </c>
      <c r="D516" s="2">
        <v>0.37</v>
      </c>
      <c r="E516" s="3">
        <v>5.9999999999999995E-8</v>
      </c>
      <c r="F516">
        <v>44.87</v>
      </c>
      <c r="G516" t="str">
        <f>HYPERLINK("https://www.ncbi.nlm.nih.gov/nucleotide/XM_007397925.1?report=genbank&amp;log$=nucltop&amp;blast_rank=17&amp;RID=GYTFJ3XW013","XM_007397925.1")</f>
        <v>XM_007397925.1</v>
      </c>
    </row>
    <row r="517" spans="1:7" x14ac:dyDescent="0.35">
      <c r="A517" s="4" t="s">
        <v>504</v>
      </c>
      <c r="B517" s="4">
        <v>52.8</v>
      </c>
      <c r="C517" s="4">
        <v>52.8</v>
      </c>
      <c r="D517" s="5">
        <v>0.3</v>
      </c>
      <c r="E517" s="6">
        <v>4.0000000000000002E-4</v>
      </c>
      <c r="F517" s="4">
        <v>44.44</v>
      </c>
      <c r="G517" s="4" t="str">
        <f>HYPERLINK("https://www.ncbi.nlm.nih.gov/nucleotide/XM_008098815.1?report=genbank&amp;log$=nucltop&amp;blast_rank=18&amp;RID=GYTFJ3XW013","XM_008098815.1")</f>
        <v>XM_008098815.1</v>
      </c>
    </row>
    <row r="518" spans="1:7" x14ac:dyDescent="0.35">
      <c r="A518" s="4" t="s">
        <v>505</v>
      </c>
      <c r="B518" s="4">
        <v>52</v>
      </c>
      <c r="C518" s="4">
        <v>52</v>
      </c>
      <c r="D518" s="5">
        <v>0.3</v>
      </c>
      <c r="E518" s="6">
        <v>5.9999999999999995E-4</v>
      </c>
      <c r="F518" s="4">
        <v>44.44</v>
      </c>
      <c r="G518" s="4" t="str">
        <f>HYPERLINK("https://www.ncbi.nlm.nih.gov/nucleotide/XM_018307603.1?report=genbank&amp;log$=nucltop&amp;blast_rank=19&amp;RID=GYTFJ3XW013","XM_018307603.1")</f>
        <v>XM_018307603.1</v>
      </c>
    </row>
    <row r="519" spans="1:7" x14ac:dyDescent="0.35">
      <c r="A519" s="4" t="s">
        <v>506</v>
      </c>
      <c r="B519" s="4">
        <v>52</v>
      </c>
      <c r="C519" s="4">
        <v>52</v>
      </c>
      <c r="D519" s="5">
        <v>0.3</v>
      </c>
      <c r="E519" s="6">
        <v>6.9999999999999999E-4</v>
      </c>
      <c r="F519" s="4">
        <v>44.44</v>
      </c>
      <c r="G519" s="4" t="str">
        <f>HYPERLINK("https://www.ncbi.nlm.nih.gov/nucleotide/XM_038886705.1?report=genbank&amp;log$=nucltop&amp;blast_rank=20&amp;RID=GYTFJ3XW013","XM_038886705.1")</f>
        <v>XM_038886705.1</v>
      </c>
    </row>
    <row r="520" spans="1:7" x14ac:dyDescent="0.35">
      <c r="A520" s="4" t="s">
        <v>507</v>
      </c>
      <c r="B520" s="4">
        <v>51.6</v>
      </c>
      <c r="C520" s="4">
        <v>51.6</v>
      </c>
      <c r="D520" s="5">
        <v>0.3</v>
      </c>
      <c r="E520" s="4">
        <v>1E-3</v>
      </c>
      <c r="F520" s="4">
        <v>44.44</v>
      </c>
      <c r="G520" s="4" t="str">
        <f>HYPERLINK("https://www.ncbi.nlm.nih.gov/nucleotide/XM_036723993.1?report=genbank&amp;log$=nucltop&amp;blast_rank=21&amp;RID=GYTFJ3XW013","XM_036723993.1")</f>
        <v>XM_036723993.1</v>
      </c>
    </row>
    <row r="521" spans="1:7" x14ac:dyDescent="0.35">
      <c r="A521" t="s">
        <v>501</v>
      </c>
      <c r="B521">
        <v>53.1</v>
      </c>
      <c r="C521">
        <v>53.1</v>
      </c>
      <c r="D521" s="2">
        <v>0.33</v>
      </c>
      <c r="E521" s="3">
        <v>4.0000000000000002E-4</v>
      </c>
      <c r="F521">
        <v>44.29</v>
      </c>
      <c r="G521" t="str">
        <f>HYPERLINK("https://www.ncbi.nlm.nih.gov/nucleotide/AE017349.1?report=genbank&amp;log$=nucltop&amp;blast_rank=22&amp;RID=GYTFJ3XW013","AE017349.1")</f>
        <v>AE017349.1</v>
      </c>
    </row>
    <row r="522" spans="1:7" x14ac:dyDescent="0.35">
      <c r="A522" t="s">
        <v>500</v>
      </c>
      <c r="B522">
        <v>53.1</v>
      </c>
      <c r="C522">
        <v>53.1</v>
      </c>
      <c r="D522" s="2">
        <v>0.33</v>
      </c>
      <c r="E522" s="3">
        <v>5.0000000000000001E-4</v>
      </c>
      <c r="F522">
        <v>44.29</v>
      </c>
      <c r="G522" t="str">
        <f>HYPERLINK("https://www.ncbi.nlm.nih.gov/nucleotide/CP025766.1?report=genbank&amp;log$=nucltop&amp;blast_rank=23&amp;RID=GYTFJ3XW013","CP025766.1")</f>
        <v>CP025766.1</v>
      </c>
    </row>
    <row r="523" spans="1:7" x14ac:dyDescent="0.35">
      <c r="A523" t="s">
        <v>502</v>
      </c>
      <c r="B523">
        <v>52.8</v>
      </c>
      <c r="C523">
        <v>52.8</v>
      </c>
      <c r="D523" s="2">
        <v>0.33</v>
      </c>
      <c r="E523" s="3">
        <v>6.9999999999999999E-4</v>
      </c>
      <c r="F523">
        <v>44.29</v>
      </c>
      <c r="G523" t="str">
        <f>HYPERLINK("https://www.ncbi.nlm.nih.gov/nucleotide/CP000293.1?report=genbank&amp;log$=nucltop&amp;blast_rank=24&amp;RID=GYTFJ3XW013","CP000293.1")</f>
        <v>CP000293.1</v>
      </c>
    </row>
    <row r="524" spans="1:7" x14ac:dyDescent="0.35">
      <c r="A524" t="s">
        <v>495</v>
      </c>
      <c r="B524">
        <v>58.5</v>
      </c>
      <c r="C524">
        <v>58.5</v>
      </c>
      <c r="D524" s="2">
        <v>0.37</v>
      </c>
      <c r="E524" s="3">
        <v>3.0000000000000001E-6</v>
      </c>
      <c r="F524">
        <v>43.59</v>
      </c>
      <c r="G524" t="str">
        <f>HYPERLINK("https://www.ncbi.nlm.nih.gov/nucleotide/XM_768845.1?report=genbank&amp;log$=nucltop&amp;blast_rank=25&amp;RID=GYTFJ3XW013","XM_768845.1")</f>
        <v>XM_768845.1</v>
      </c>
    </row>
    <row r="525" spans="1:7" x14ac:dyDescent="0.35">
      <c r="A525" t="s">
        <v>496</v>
      </c>
      <c r="B525">
        <v>58.9</v>
      </c>
      <c r="C525">
        <v>58.9</v>
      </c>
      <c r="D525" s="2">
        <v>0.37</v>
      </c>
      <c r="E525" s="3">
        <v>3.0000000000000001E-6</v>
      </c>
      <c r="F525">
        <v>43.59</v>
      </c>
      <c r="G525" t="str">
        <f>HYPERLINK("https://www.ncbi.nlm.nih.gov/nucleotide/XM_024657893.1?report=genbank&amp;log$=nucltop&amp;blast_rank=26&amp;RID=GYTFJ3XW013","XM_024657893.1")</f>
        <v>XM_024657893.1</v>
      </c>
    </row>
    <row r="526" spans="1:7" x14ac:dyDescent="0.35">
      <c r="A526" t="s">
        <v>503</v>
      </c>
      <c r="B526">
        <v>53.9</v>
      </c>
      <c r="C526">
        <v>53.9</v>
      </c>
      <c r="D526" s="2">
        <v>0.32</v>
      </c>
      <c r="E526" s="3">
        <v>1E-4</v>
      </c>
      <c r="F526">
        <v>43.48</v>
      </c>
      <c r="G526" t="str">
        <f>HYPERLINK("https://www.ncbi.nlm.nih.gov/nucleotide/XM_022613792.1?report=genbank&amp;log$=nucltop&amp;blast_rank=27&amp;RID=GYTFJ3XW013","XM_022613792.1")</f>
        <v>XM_022613792.1</v>
      </c>
    </row>
    <row r="527" spans="1:7" x14ac:dyDescent="0.35">
      <c r="A527" t="s">
        <v>885</v>
      </c>
      <c r="B527">
        <v>68.599999999999994</v>
      </c>
      <c r="C527">
        <v>68.599999999999994</v>
      </c>
      <c r="D527" s="2">
        <v>0.37</v>
      </c>
      <c r="E527" s="3">
        <v>3E-9</v>
      </c>
      <c r="F527">
        <v>43.43</v>
      </c>
      <c r="G527" t="str">
        <f>HYPERLINK("https://www.ncbi.nlm.nih.gov/nucleotide/CP059647.1?report=genbank&amp;log$=nucltop&amp;blast_rank=28&amp;RID=GYTFJ3XW013","CP059647.1")</f>
        <v>CP059647.1</v>
      </c>
    </row>
    <row r="528" spans="1:7" x14ac:dyDescent="0.35">
      <c r="A528" t="s">
        <v>886</v>
      </c>
      <c r="B528">
        <v>68.599999999999994</v>
      </c>
      <c r="C528">
        <v>68.599999999999994</v>
      </c>
      <c r="D528" s="2">
        <v>0.37</v>
      </c>
      <c r="E528" s="3">
        <v>3E-9</v>
      </c>
      <c r="F528">
        <v>43.43</v>
      </c>
      <c r="G528" t="str">
        <f>HYPERLINK("https://www.ncbi.nlm.nih.gov/nucleotide/CP059615.1?report=genbank&amp;log$=nucltop&amp;blast_rank=29&amp;RID=GYTFJ3XW013","CP059615.1")</f>
        <v>CP059615.1</v>
      </c>
    </row>
    <row r="529" spans="1:7" x14ac:dyDescent="0.35">
      <c r="A529" t="s">
        <v>523</v>
      </c>
      <c r="B529">
        <v>50.8</v>
      </c>
      <c r="C529">
        <v>50.8</v>
      </c>
      <c r="D529" s="2">
        <v>0.3</v>
      </c>
      <c r="E529">
        <v>2E-3</v>
      </c>
      <c r="F529">
        <v>42.86</v>
      </c>
      <c r="G529" t="str">
        <f>HYPERLINK("https://www.ncbi.nlm.nih.gov/nucleotide/XM_037318596.1?report=genbank&amp;log$=nucltop&amp;blast_rank=30&amp;RID=GYTFJ3XW013","XM_037318596.1")</f>
        <v>XM_037318596.1</v>
      </c>
    </row>
    <row r="530" spans="1:7" x14ac:dyDescent="0.35">
      <c r="A530" t="s">
        <v>524</v>
      </c>
      <c r="B530">
        <v>50.8</v>
      </c>
      <c r="C530">
        <v>50.8</v>
      </c>
      <c r="D530" s="2">
        <v>0.3</v>
      </c>
      <c r="E530">
        <v>2E-3</v>
      </c>
      <c r="F530">
        <v>42.86</v>
      </c>
      <c r="G530" t="str">
        <f>HYPERLINK("https://www.ncbi.nlm.nih.gov/nucleotide/XM_036634474.1?report=genbank&amp;log$=nucltop&amp;blast_rank=31&amp;RID=GYTFJ3XW013","XM_036634474.1")</f>
        <v>XM_036634474.1</v>
      </c>
    </row>
    <row r="531" spans="1:7" x14ac:dyDescent="0.35">
      <c r="A531" t="s">
        <v>525</v>
      </c>
      <c r="B531">
        <v>50.4</v>
      </c>
      <c r="C531">
        <v>50.4</v>
      </c>
      <c r="D531" s="2">
        <v>0.3</v>
      </c>
      <c r="E531">
        <v>2E-3</v>
      </c>
      <c r="F531">
        <v>42.86</v>
      </c>
      <c r="G531" t="str">
        <f>HYPERLINK("https://www.ncbi.nlm.nih.gov/nucleotide/XM_032021123.1?report=genbank&amp;log$=nucltop&amp;blast_rank=32&amp;RID=GYTFJ3XW013","XM_032021123.1")</f>
        <v>XM_032021123.1</v>
      </c>
    </row>
    <row r="532" spans="1:7" x14ac:dyDescent="0.35">
      <c r="A532" t="s">
        <v>508</v>
      </c>
      <c r="B532">
        <v>50.4</v>
      </c>
      <c r="C532">
        <v>50.4</v>
      </c>
      <c r="D532" s="2">
        <v>0.33</v>
      </c>
      <c r="E532">
        <v>3.0000000000000001E-3</v>
      </c>
      <c r="F532">
        <v>42.86</v>
      </c>
      <c r="G532" t="str">
        <f>HYPERLINK("https://www.ncbi.nlm.nih.gov/nucleotide/CP048095.1?report=genbank&amp;log$=nucltop&amp;blast_rank=33&amp;RID=GYTFJ3XW013","CP048095.1")</f>
        <v>CP048095.1</v>
      </c>
    </row>
    <row r="533" spans="1:7" x14ac:dyDescent="0.35">
      <c r="A533" t="s">
        <v>509</v>
      </c>
      <c r="B533">
        <v>50.4</v>
      </c>
      <c r="C533">
        <v>50.4</v>
      </c>
      <c r="D533" s="2">
        <v>0.33</v>
      </c>
      <c r="E533">
        <v>3.0000000000000001E-3</v>
      </c>
      <c r="F533">
        <v>42.86</v>
      </c>
      <c r="G533" t="str">
        <f>HYPERLINK("https://www.ncbi.nlm.nih.gov/nucleotide/CP047910.1?report=genbank&amp;log$=nucltop&amp;blast_rank=34&amp;RID=GYTFJ3XW013","CP047910.1")</f>
        <v>CP047910.1</v>
      </c>
    </row>
    <row r="534" spans="1:7" x14ac:dyDescent="0.35">
      <c r="A534" t="s">
        <v>510</v>
      </c>
      <c r="B534">
        <v>50.4</v>
      </c>
      <c r="C534">
        <v>50.4</v>
      </c>
      <c r="D534" s="2">
        <v>0.33</v>
      </c>
      <c r="E534">
        <v>3.0000000000000001E-3</v>
      </c>
      <c r="F534">
        <v>42.86</v>
      </c>
      <c r="G534" t="str">
        <f>HYPERLINK("https://www.ncbi.nlm.nih.gov/nucleotide/CP003828.1?report=genbank&amp;log$=nucltop&amp;blast_rank=35&amp;RID=GYTFJ3XW013","CP003828.1")</f>
        <v>CP003828.1</v>
      </c>
    </row>
    <row r="535" spans="1:7" x14ac:dyDescent="0.35">
      <c r="A535" t="s">
        <v>511</v>
      </c>
      <c r="B535">
        <v>50.4</v>
      </c>
      <c r="C535">
        <v>50.4</v>
      </c>
      <c r="D535" s="2">
        <v>0.33</v>
      </c>
      <c r="E535">
        <v>3.0000000000000001E-3</v>
      </c>
      <c r="F535">
        <v>42.86</v>
      </c>
      <c r="G535" t="str">
        <f>HYPERLINK("https://www.ncbi.nlm.nih.gov/nucleotide/CP022329.1?report=genbank&amp;log$=nucltop&amp;blast_rank=36&amp;RID=GYTFJ3XW013","CP022329.1")</f>
        <v>CP022329.1</v>
      </c>
    </row>
    <row r="536" spans="1:7" x14ac:dyDescent="0.35">
      <c r="A536" t="s">
        <v>512</v>
      </c>
      <c r="B536">
        <v>50.4</v>
      </c>
      <c r="C536">
        <v>50.4</v>
      </c>
      <c r="D536" s="2">
        <v>0.33</v>
      </c>
      <c r="E536">
        <v>4.0000000000000001E-3</v>
      </c>
      <c r="F536">
        <v>42.86</v>
      </c>
      <c r="G536" t="str">
        <f>HYPERLINK("https://www.ncbi.nlm.nih.gov/nucleotide/CP025725.1?report=genbank&amp;log$=nucltop&amp;blast_rank=37&amp;RID=GYTFJ3XW013","CP025725.1")</f>
        <v>CP025725.1</v>
      </c>
    </row>
    <row r="537" spans="1:7" x14ac:dyDescent="0.35">
      <c r="A537" t="s">
        <v>513</v>
      </c>
      <c r="B537">
        <v>50.4</v>
      </c>
      <c r="C537">
        <v>50.4</v>
      </c>
      <c r="D537" s="2">
        <v>0.33</v>
      </c>
      <c r="E537">
        <v>4.0000000000000001E-3</v>
      </c>
      <c r="F537">
        <v>42.86</v>
      </c>
      <c r="G537" t="str">
        <f>HYPERLINK("https://www.ncbi.nlm.nih.gov/nucleotide/CP048080.1?report=genbank&amp;log$=nucltop&amp;blast_rank=38&amp;RID=GYTFJ3XW013","CP048080.1")</f>
        <v>CP048080.1</v>
      </c>
    </row>
    <row r="538" spans="1:7" x14ac:dyDescent="0.35">
      <c r="A538" t="s">
        <v>498</v>
      </c>
      <c r="B538">
        <v>47.8</v>
      </c>
      <c r="C538">
        <v>47.8</v>
      </c>
      <c r="D538" s="2">
        <v>0.28999999999999998</v>
      </c>
      <c r="E538">
        <v>5.0000000000000001E-3</v>
      </c>
      <c r="F538">
        <v>42.62</v>
      </c>
      <c r="G538" t="str">
        <f>HYPERLINK("https://www.ncbi.nlm.nih.gov/nucleotide/XM_007413685.1?report=genbank&amp;log$=nucltop&amp;blast_rank=39&amp;RID=GYTFJ3XW013","XM_007413685.1")</f>
        <v>XM_007413685.1</v>
      </c>
    </row>
    <row r="539" spans="1:7" x14ac:dyDescent="0.35">
      <c r="A539" t="s">
        <v>499</v>
      </c>
      <c r="B539">
        <v>57.4</v>
      </c>
      <c r="C539">
        <v>57.4</v>
      </c>
      <c r="D539" s="2">
        <v>0.37</v>
      </c>
      <c r="E539" s="3">
        <v>1.0000000000000001E-5</v>
      </c>
      <c r="F539">
        <v>42.31</v>
      </c>
      <c r="G539" t="str">
        <f>HYPERLINK("https://www.ncbi.nlm.nih.gov/nucleotide/XM_012196313.1?report=genbank&amp;log$=nucltop&amp;blast_rank=40&amp;RID=GYTFJ3XW013","XM_012196313.1")</f>
        <v>XM_012196313.1</v>
      </c>
    </row>
    <row r="540" spans="1:7" x14ac:dyDescent="0.35">
      <c r="A540" t="s">
        <v>530</v>
      </c>
      <c r="B540">
        <v>49.7</v>
      </c>
      <c r="C540">
        <v>49.7</v>
      </c>
      <c r="D540" s="2">
        <v>0.36</v>
      </c>
      <c r="E540">
        <v>4.0000000000000001E-3</v>
      </c>
      <c r="F540">
        <v>42.11</v>
      </c>
      <c r="G540" t="str">
        <f>HYPERLINK("https://www.ncbi.nlm.nih.gov/nucleotide/XM_025504909.1?report=genbank&amp;log$=nucltop&amp;blast_rank=41&amp;RID=GYTFJ3XW013","XM_025504909.1")</f>
        <v>XM_025504909.1</v>
      </c>
    </row>
    <row r="541" spans="1:7" x14ac:dyDescent="0.35">
      <c r="A541" t="s">
        <v>514</v>
      </c>
      <c r="B541">
        <v>52.4</v>
      </c>
      <c r="C541">
        <v>52.4</v>
      </c>
      <c r="D541" s="2">
        <v>0.32</v>
      </c>
      <c r="E541" s="3">
        <v>5.9999999999999995E-4</v>
      </c>
      <c r="F541">
        <v>42.03</v>
      </c>
      <c r="G541" t="str">
        <f>HYPERLINK("https://www.ncbi.nlm.nih.gov/nucleotide/XM_035473314.1?report=genbank&amp;log$=nucltop&amp;blast_rank=42&amp;RID=GYTFJ3XW013","XM_035473314.1")</f>
        <v>XM_035473314.1</v>
      </c>
    </row>
    <row r="542" spans="1:7" x14ac:dyDescent="0.35">
      <c r="A542" t="s">
        <v>526</v>
      </c>
      <c r="B542">
        <v>57</v>
      </c>
      <c r="C542">
        <v>57</v>
      </c>
      <c r="D542" s="2">
        <v>0.38</v>
      </c>
      <c r="E542" s="3">
        <v>1.0000000000000001E-5</v>
      </c>
      <c r="F542">
        <v>41.25</v>
      </c>
      <c r="G542" t="str">
        <f>HYPERLINK("https://www.ncbi.nlm.nih.gov/nucleotide/XM_019194061.1?report=genbank&amp;log$=nucltop&amp;blast_rank=43&amp;RID=GYTFJ3XW013","XM_019194061.1")</f>
        <v>XM_019194061.1</v>
      </c>
    </row>
    <row r="543" spans="1:7" x14ac:dyDescent="0.35">
      <c r="A543" t="s">
        <v>517</v>
      </c>
      <c r="B543">
        <v>49.3</v>
      </c>
      <c r="C543">
        <v>49.3</v>
      </c>
      <c r="D543" s="2">
        <v>0.37</v>
      </c>
      <c r="E543">
        <v>8.9999999999999993E-3</v>
      </c>
      <c r="F543">
        <v>41.03</v>
      </c>
      <c r="G543" t="str">
        <f>HYPERLINK("https://www.ncbi.nlm.nih.gov/nucleotide/LK023379.1?report=genbank&amp;log$=nucltop&amp;blast_rank=44&amp;RID=GYTFJ3XW013","LK023379.1")</f>
        <v>LK023379.1</v>
      </c>
    </row>
    <row r="544" spans="1:7" x14ac:dyDescent="0.35">
      <c r="A544" t="s">
        <v>518</v>
      </c>
      <c r="B544">
        <v>49.3</v>
      </c>
      <c r="C544">
        <v>49.3</v>
      </c>
      <c r="D544" s="2">
        <v>0.37</v>
      </c>
      <c r="E544">
        <v>8.9999999999999993E-3</v>
      </c>
      <c r="F544">
        <v>41.03</v>
      </c>
      <c r="G544" t="str">
        <f>HYPERLINK("https://www.ncbi.nlm.nih.gov/nucleotide/CP031827.1?report=genbank&amp;log$=nucltop&amp;blast_rank=45&amp;RID=GYTFJ3XW013","CP031827.1")</f>
        <v>CP031827.1</v>
      </c>
    </row>
    <row r="545" spans="1:7" x14ac:dyDescent="0.35">
      <c r="A545" t="s">
        <v>529</v>
      </c>
      <c r="B545">
        <v>57</v>
      </c>
      <c r="C545">
        <v>57</v>
      </c>
      <c r="D545" s="2">
        <v>0.37</v>
      </c>
      <c r="E545" s="3">
        <v>1.0000000000000001E-5</v>
      </c>
      <c r="F545">
        <v>39.74</v>
      </c>
      <c r="G545" t="str">
        <f>HYPERLINK("https://www.ncbi.nlm.nih.gov/nucleotide/XM_028618410.1?report=genbank&amp;log$=nucltop&amp;blast_rank=46&amp;RID=GYTFJ3XW013","XM_028618410.1")</f>
        <v>XM_028618410.1</v>
      </c>
    </row>
    <row r="546" spans="1:7" x14ac:dyDescent="0.35">
      <c r="A546" t="s">
        <v>515</v>
      </c>
      <c r="B546">
        <v>53.9</v>
      </c>
      <c r="C546">
        <v>53.9</v>
      </c>
      <c r="D546" s="2">
        <v>0.37</v>
      </c>
      <c r="E546" s="3">
        <v>1E-4</v>
      </c>
      <c r="F546">
        <v>39.74</v>
      </c>
      <c r="G546" t="str">
        <f>HYPERLINK("https://www.ncbi.nlm.nih.gov/nucleotide/XM_032005190.1?report=genbank&amp;log$=nucltop&amp;blast_rank=47&amp;RID=GYTFJ3XW013","XM_032005190.1")</f>
        <v>XM_032005190.1</v>
      </c>
    </row>
    <row r="547" spans="1:7" x14ac:dyDescent="0.35">
      <c r="A547" t="s">
        <v>516</v>
      </c>
      <c r="B547">
        <v>53.9</v>
      </c>
      <c r="C547">
        <v>53.9</v>
      </c>
      <c r="D547" s="2">
        <v>0.37</v>
      </c>
      <c r="E547" s="3">
        <v>1E-4</v>
      </c>
      <c r="F547">
        <v>39.74</v>
      </c>
      <c r="G547" t="str">
        <f>HYPERLINK("https://www.ncbi.nlm.nih.gov/nucleotide/XM_007001803.1?report=genbank&amp;log$=nucltop&amp;blast_rank=48&amp;RID=GYTFJ3XW013","XM_007001803.1")</f>
        <v>XM_007001803.1</v>
      </c>
    </row>
    <row r="548" spans="1:7" x14ac:dyDescent="0.35">
      <c r="A548" t="s">
        <v>521</v>
      </c>
      <c r="B548">
        <v>49.3</v>
      </c>
      <c r="C548">
        <v>49.3</v>
      </c>
      <c r="D548" s="2">
        <v>0.31</v>
      </c>
      <c r="E548">
        <v>6.0000000000000001E-3</v>
      </c>
      <c r="F548">
        <v>39.39</v>
      </c>
      <c r="G548" t="str">
        <f>HYPERLINK("https://www.ncbi.nlm.nih.gov/nucleotide/XM_028641600.1?report=genbank&amp;log$=nucltop&amp;blast_rank=49&amp;RID=GYTFJ3XW013","XM_028641600.1")</f>
        <v>XM_028641600.1</v>
      </c>
    </row>
    <row r="549" spans="1:7" x14ac:dyDescent="0.35">
      <c r="A549" t="s">
        <v>522</v>
      </c>
      <c r="B549">
        <v>49.3</v>
      </c>
      <c r="C549">
        <v>49.3</v>
      </c>
      <c r="D549" s="2">
        <v>0.31</v>
      </c>
      <c r="E549">
        <v>6.0000000000000001E-3</v>
      </c>
      <c r="F549">
        <v>39.39</v>
      </c>
      <c r="G549" t="str">
        <f>HYPERLINK("https://www.ncbi.nlm.nih.gov/nucleotide/XM_003006008.1?report=genbank&amp;log$=nucltop&amp;blast_rank=50&amp;RID=GYTFJ3XW013","XM_003006008.1")</f>
        <v>XM_003006008.1</v>
      </c>
    </row>
    <row r="550" spans="1:7" x14ac:dyDescent="0.35">
      <c r="A550" t="s">
        <v>520</v>
      </c>
      <c r="B550">
        <v>49.3</v>
      </c>
      <c r="C550">
        <v>49.3</v>
      </c>
      <c r="D550" s="2">
        <v>0.31</v>
      </c>
      <c r="E550">
        <v>6.0000000000000001E-3</v>
      </c>
      <c r="F550">
        <v>39.39</v>
      </c>
      <c r="G550" t="str">
        <f>HYPERLINK("https://www.ncbi.nlm.nih.gov/nucleotide/XM_009650122.1?report=genbank&amp;log$=nucltop&amp;blast_rank=51&amp;RID=GYTFJ3XW013","XM_009650122.1")</f>
        <v>XM_009650122.1</v>
      </c>
    </row>
    <row r="551" spans="1:7" x14ac:dyDescent="0.35">
      <c r="A551" t="s">
        <v>250</v>
      </c>
      <c r="B551">
        <v>48.5</v>
      </c>
      <c r="C551">
        <v>48.5</v>
      </c>
      <c r="D551" s="2">
        <v>0.31</v>
      </c>
      <c r="E551">
        <v>1.4999999999999999E-2</v>
      </c>
      <c r="F551">
        <v>39.39</v>
      </c>
      <c r="G551" t="str">
        <f>HYPERLINK("https://www.ncbi.nlm.nih.gov/nucleotide/CP010980.1?report=genbank&amp;log$=nucltop&amp;blast_rank=52&amp;RID=GYTFJ3XW013","CP010980.1")</f>
        <v>CP010980.1</v>
      </c>
    </row>
    <row r="552" spans="1:7" x14ac:dyDescent="0.35">
      <c r="A552" t="s">
        <v>251</v>
      </c>
      <c r="B552">
        <v>48.5</v>
      </c>
      <c r="C552">
        <v>48.5</v>
      </c>
      <c r="D552" s="2">
        <v>0.31</v>
      </c>
      <c r="E552">
        <v>1.4999999999999999E-2</v>
      </c>
      <c r="F552">
        <v>39.39</v>
      </c>
      <c r="G552" t="str">
        <f>HYPERLINK("https://www.ncbi.nlm.nih.gov/nucleotide/CP009075.1?report=genbank&amp;log$=nucltop&amp;blast_rank=53&amp;RID=GYTFJ3XW013","CP009075.1")</f>
        <v>CP009075.1</v>
      </c>
    </row>
    <row r="553" spans="1:7" x14ac:dyDescent="0.35">
      <c r="A553" t="s">
        <v>887</v>
      </c>
      <c r="B553">
        <v>48.1</v>
      </c>
      <c r="C553">
        <v>48.1</v>
      </c>
      <c r="D553" s="2">
        <v>0.34</v>
      </c>
      <c r="E553">
        <v>1.4E-2</v>
      </c>
      <c r="F553">
        <v>38.36</v>
      </c>
      <c r="G553" t="str">
        <f>HYPERLINK("https://www.ncbi.nlm.nih.gov/nucleotide/XM_025522215.1?report=genbank&amp;log$=nucltop&amp;blast_rank=54&amp;RID=GYTFJ3XW013","XM_025522215.1")</f>
        <v>XM_025522215.1</v>
      </c>
    </row>
    <row r="554" spans="1:7" x14ac:dyDescent="0.35">
      <c r="A554" t="s">
        <v>326</v>
      </c>
      <c r="B554">
        <v>47</v>
      </c>
      <c r="C554">
        <v>47</v>
      </c>
      <c r="D554" s="2">
        <v>0.34</v>
      </c>
      <c r="E554">
        <v>3.1E-2</v>
      </c>
      <c r="F554">
        <v>38.36</v>
      </c>
      <c r="G554" t="str">
        <f>HYPERLINK("https://www.ncbi.nlm.nih.gov/nucleotide/XM_014715723.1?report=genbank&amp;log$=nucltop&amp;blast_rank=55&amp;RID=GYTFJ3XW013","XM_014715723.1")</f>
        <v>XM_014715723.1</v>
      </c>
    </row>
    <row r="555" spans="1:7" x14ac:dyDescent="0.35">
      <c r="A555" t="s">
        <v>531</v>
      </c>
      <c r="B555">
        <v>104</v>
      </c>
      <c r="C555">
        <v>104</v>
      </c>
      <c r="D555" s="2">
        <v>0.83</v>
      </c>
      <c r="E555" s="3">
        <v>1.9999999999999999E-23</v>
      </c>
      <c r="F555">
        <v>37.78</v>
      </c>
      <c r="G555" t="str">
        <f>HYPERLINK("https://www.ncbi.nlm.nih.gov/nucleotide/XM_003026747.1?report=genbank&amp;log$=nucltop&amp;blast_rank=56&amp;RID=GYTFJ3XW013","XM_003026747.1")</f>
        <v>XM_003026747.1</v>
      </c>
    </row>
    <row r="556" spans="1:7" x14ac:dyDescent="0.35">
      <c r="A556" t="s">
        <v>533</v>
      </c>
      <c r="B556">
        <v>51.6</v>
      </c>
      <c r="C556">
        <v>51.6</v>
      </c>
      <c r="D556" s="2">
        <v>0.35</v>
      </c>
      <c r="E556" s="3">
        <v>8.9999999999999998E-4</v>
      </c>
      <c r="F556">
        <v>37.33</v>
      </c>
      <c r="G556" t="str">
        <f>HYPERLINK("https://www.ncbi.nlm.nih.gov/nucleotide/XM_031996610.1?report=genbank&amp;log$=nucltop&amp;blast_rank=57&amp;RID=GYTFJ3XW013","XM_031996610.1")</f>
        <v>XM_031996610.1</v>
      </c>
    </row>
    <row r="557" spans="1:7" x14ac:dyDescent="0.35">
      <c r="A557" t="s">
        <v>542</v>
      </c>
      <c r="B557">
        <v>97.8</v>
      </c>
      <c r="C557">
        <v>97.8</v>
      </c>
      <c r="D557" s="2">
        <v>0.87</v>
      </c>
      <c r="E557" s="3">
        <v>1.9999999999999999E-20</v>
      </c>
      <c r="F557">
        <v>37.229999999999997</v>
      </c>
      <c r="G557" t="str">
        <f>HYPERLINK("https://www.ncbi.nlm.nih.gov/nucleotide/XM_001889471.1?report=genbank&amp;log$=nucltop&amp;blast_rank=58&amp;RID=GYTFJ3XW013","XM_001889471.1")</f>
        <v>XM_001889471.1</v>
      </c>
    </row>
    <row r="558" spans="1:7" x14ac:dyDescent="0.35">
      <c r="A558" t="s">
        <v>527</v>
      </c>
      <c r="B558">
        <v>95.9</v>
      </c>
      <c r="C558">
        <v>95.9</v>
      </c>
      <c r="D558" s="2">
        <v>0.9</v>
      </c>
      <c r="E558" s="3">
        <v>3.9999999999999998E-20</v>
      </c>
      <c r="F558">
        <v>37.200000000000003</v>
      </c>
      <c r="G558" t="str">
        <f>HYPERLINK("https://www.ncbi.nlm.nih.gov/nucleotide/XM_037362815.1?report=genbank&amp;log$=nucltop&amp;blast_rank=59&amp;RID=GYTFJ3XW013","XM_037362815.1")</f>
        <v>XM_037362815.1</v>
      </c>
    </row>
    <row r="559" spans="1:7" x14ac:dyDescent="0.35">
      <c r="A559" t="s">
        <v>535</v>
      </c>
      <c r="B559">
        <v>51.6</v>
      </c>
      <c r="C559">
        <v>51.6</v>
      </c>
      <c r="D559" s="2">
        <v>0.34</v>
      </c>
      <c r="E559" s="3">
        <v>5.9999999999999995E-4</v>
      </c>
      <c r="F559">
        <v>36.99</v>
      </c>
      <c r="G559" t="str">
        <f>HYPERLINK("https://www.ncbi.nlm.nih.gov/nucleotide/XM_014690294.1?report=genbank&amp;log$=nucltop&amp;blast_rank=60&amp;RID=GYTFJ3XW013","XM_014690294.1")</f>
        <v>XM_014690294.1</v>
      </c>
    </row>
    <row r="560" spans="1:7" x14ac:dyDescent="0.35">
      <c r="A560" t="s">
        <v>536</v>
      </c>
      <c r="B560">
        <v>51.6</v>
      </c>
      <c r="C560">
        <v>51.6</v>
      </c>
      <c r="D560" s="2">
        <v>0.34</v>
      </c>
      <c r="E560">
        <v>1E-3</v>
      </c>
      <c r="F560">
        <v>36.99</v>
      </c>
      <c r="G560" t="str">
        <f>HYPERLINK("https://www.ncbi.nlm.nih.gov/nucleotide/CP058935.1?report=genbank&amp;log$=nucltop&amp;blast_rank=61&amp;RID=GYTFJ3XW013","CP058935.1")</f>
        <v>CP058935.1</v>
      </c>
    </row>
    <row r="561" spans="1:7" x14ac:dyDescent="0.35">
      <c r="A561" t="s">
        <v>539</v>
      </c>
      <c r="B561">
        <v>50.8</v>
      </c>
      <c r="C561">
        <v>50.8</v>
      </c>
      <c r="D561" s="2">
        <v>0.34</v>
      </c>
      <c r="E561">
        <v>2E-3</v>
      </c>
      <c r="F561">
        <v>36.99</v>
      </c>
      <c r="G561" t="str">
        <f>HYPERLINK("https://www.ncbi.nlm.nih.gov/nucleotide/XM_007820685.2?report=genbank&amp;log$=nucltop&amp;blast_rank=62&amp;RID=GYTFJ3XW013","XM_007820685.2")</f>
        <v>XM_007820685.2</v>
      </c>
    </row>
    <row r="562" spans="1:7" x14ac:dyDescent="0.35">
      <c r="A562" t="s">
        <v>540</v>
      </c>
      <c r="B562">
        <v>48.1</v>
      </c>
      <c r="C562">
        <v>48.1</v>
      </c>
      <c r="D562" s="2">
        <v>0.34</v>
      </c>
      <c r="E562">
        <v>2.4E-2</v>
      </c>
      <c r="F562">
        <v>36.99</v>
      </c>
      <c r="G562" t="str">
        <f>HYPERLINK("https://www.ncbi.nlm.nih.gov/nucleotide/CP031388.1?report=genbank&amp;log$=nucltop&amp;blast_rank=63&amp;RID=GYTFJ3XW013","CP031388.1")</f>
        <v>CP031388.1</v>
      </c>
    </row>
    <row r="563" spans="1:7" x14ac:dyDescent="0.35">
      <c r="A563" t="s">
        <v>549</v>
      </c>
      <c r="B563">
        <v>91.3</v>
      </c>
      <c r="C563">
        <v>91.3</v>
      </c>
      <c r="D563" s="2">
        <v>0.9</v>
      </c>
      <c r="E563" s="3">
        <v>2.9999999999999998E-18</v>
      </c>
      <c r="F563">
        <v>36.32</v>
      </c>
      <c r="G563" t="str">
        <f>HYPERLINK("https://www.ncbi.nlm.nih.gov/nucleotide/XM_007363302.1?report=genbank&amp;log$=nucltop&amp;blast_rank=64&amp;RID=GYTFJ3XW013","XM_007363302.1")</f>
        <v>XM_007363302.1</v>
      </c>
    </row>
    <row r="564" spans="1:7" x14ac:dyDescent="0.35">
      <c r="A564" t="s">
        <v>543</v>
      </c>
      <c r="B564">
        <v>88.2</v>
      </c>
      <c r="C564">
        <v>88.2</v>
      </c>
      <c r="D564" s="2">
        <v>0.84</v>
      </c>
      <c r="E564" s="3">
        <v>3.0000000000000001E-17</v>
      </c>
      <c r="F564">
        <v>35.71</v>
      </c>
      <c r="G564" t="str">
        <f>HYPERLINK("https://www.ncbi.nlm.nih.gov/nucleotide/XM_036771613.1?report=genbank&amp;log$=nucltop&amp;blast_rank=65&amp;RID=GYTFJ3XW013","XM_036771613.1")</f>
        <v>XM_036771613.1</v>
      </c>
    </row>
    <row r="565" spans="1:7" x14ac:dyDescent="0.35">
      <c r="A565" t="s">
        <v>556</v>
      </c>
      <c r="B565">
        <v>100</v>
      </c>
      <c r="C565">
        <v>100</v>
      </c>
      <c r="D565" s="2">
        <v>0.88</v>
      </c>
      <c r="E565" s="3">
        <v>9.9999999999999995E-21</v>
      </c>
      <c r="F565">
        <v>35.68</v>
      </c>
      <c r="G565" t="str">
        <f>HYPERLINK("https://www.ncbi.nlm.nih.gov/nucleotide/XM_007323234.1?report=genbank&amp;log$=nucltop&amp;blast_rank=66&amp;RID=GYTFJ3XW013","XM_007323234.1")</f>
        <v>XM_007323234.1</v>
      </c>
    </row>
    <row r="566" spans="1:7" x14ac:dyDescent="0.35">
      <c r="A566" t="s">
        <v>545</v>
      </c>
      <c r="B566">
        <v>49.7</v>
      </c>
      <c r="C566">
        <v>49.7</v>
      </c>
      <c r="D566" s="2">
        <v>0.34</v>
      </c>
      <c r="E566">
        <v>3.0000000000000001E-3</v>
      </c>
      <c r="F566">
        <v>35.619999999999997</v>
      </c>
      <c r="G566" t="str">
        <f>HYPERLINK("https://www.ncbi.nlm.nih.gov/nucleotide/XM_007816901.1?report=genbank&amp;log$=nucltop&amp;blast_rank=67&amp;RID=GYTFJ3XW013","XM_007816901.1")</f>
        <v>XM_007816901.1</v>
      </c>
    </row>
    <row r="567" spans="1:7" x14ac:dyDescent="0.35">
      <c r="A567" t="s">
        <v>550</v>
      </c>
      <c r="B567">
        <v>108</v>
      </c>
      <c r="C567">
        <v>108</v>
      </c>
      <c r="D567" s="2">
        <v>0.99</v>
      </c>
      <c r="E567" s="3">
        <v>9.9999999999999992E-25</v>
      </c>
      <c r="F567">
        <v>35.590000000000003</v>
      </c>
      <c r="G567" t="str">
        <f>HYPERLINK("https://www.ncbi.nlm.nih.gov/nucleotide/XM_024488823.1?report=genbank&amp;log$=nucltop&amp;blast_rank=68&amp;RID=GYTFJ3XW013","XM_024488823.1")</f>
        <v>XM_024488823.1</v>
      </c>
    </row>
    <row r="568" spans="1:7" x14ac:dyDescent="0.35">
      <c r="A568" t="s">
        <v>120</v>
      </c>
      <c r="B568">
        <v>97.4</v>
      </c>
      <c r="C568">
        <v>97.4</v>
      </c>
      <c r="D568" s="2">
        <v>0.99</v>
      </c>
      <c r="E568" s="3">
        <v>9.9999999999999995E-21</v>
      </c>
      <c r="F568">
        <v>35.590000000000003</v>
      </c>
      <c r="G568" t="str">
        <f>HYPERLINK("https://www.ncbi.nlm.nih.gov/nucleotide/XM_012328251.1?report=genbank&amp;log$=nucltop&amp;blast_rank=69&amp;RID=GYTFJ3XW013","XM_012328251.1")</f>
        <v>XM_012328251.1</v>
      </c>
    </row>
    <row r="569" spans="1:7" x14ac:dyDescent="0.35">
      <c r="A569" t="s">
        <v>888</v>
      </c>
      <c r="B569">
        <v>93.2</v>
      </c>
      <c r="C569">
        <v>93.2</v>
      </c>
      <c r="D569" s="2">
        <v>0.9</v>
      </c>
      <c r="E569" s="3">
        <v>5.0000000000000004E-19</v>
      </c>
      <c r="F569">
        <v>35.58</v>
      </c>
      <c r="G569" t="str">
        <f>HYPERLINK("https://www.ncbi.nlm.nih.gov/nucleotide/XM_040904790.1?report=genbank&amp;log$=nucltop&amp;blast_rank=70&amp;RID=GYTFJ3XW013","XM_040904790.1")</f>
        <v>XM_040904790.1</v>
      </c>
    </row>
    <row r="570" spans="1:7" x14ac:dyDescent="0.35">
      <c r="A570" t="s">
        <v>551</v>
      </c>
      <c r="B570">
        <v>50.4</v>
      </c>
      <c r="C570">
        <v>50.4</v>
      </c>
      <c r="D570" s="2">
        <v>0.36</v>
      </c>
      <c r="E570">
        <v>2E-3</v>
      </c>
      <c r="F570">
        <v>35.06</v>
      </c>
      <c r="G570" t="str">
        <f>HYPERLINK("https://www.ncbi.nlm.nih.gov/nucleotide/XM_019170232.1?report=genbank&amp;log$=nucltop&amp;blast_rank=71&amp;RID=GYTFJ3XW013","XM_019170232.1")</f>
        <v>XM_019170232.1</v>
      </c>
    </row>
    <row r="571" spans="1:7" x14ac:dyDescent="0.35">
      <c r="A571" t="s">
        <v>558</v>
      </c>
      <c r="B571">
        <v>82</v>
      </c>
      <c r="C571">
        <v>82</v>
      </c>
      <c r="D571" s="2">
        <v>0.88</v>
      </c>
      <c r="E571" s="3">
        <v>7.0000000000000001E-15</v>
      </c>
      <c r="F571">
        <v>34.979999999999997</v>
      </c>
      <c r="G571" t="str">
        <f>HYPERLINK("https://www.ncbi.nlm.nih.gov/nucleotide/XM_007261781.1?report=genbank&amp;log$=nucltop&amp;blast_rank=72&amp;RID=GYTFJ3XW013","XM_007261781.1")</f>
        <v>XM_007261781.1</v>
      </c>
    </row>
    <row r="572" spans="1:7" x14ac:dyDescent="0.35">
      <c r="A572" t="s">
        <v>546</v>
      </c>
      <c r="B572">
        <v>54.7</v>
      </c>
      <c r="C572">
        <v>54.7</v>
      </c>
      <c r="D572" s="2">
        <v>0.39</v>
      </c>
      <c r="E572" s="3">
        <v>6.9999999999999994E-5</v>
      </c>
      <c r="F572">
        <v>34.94</v>
      </c>
      <c r="G572" t="str">
        <f>HYPERLINK("https://www.ncbi.nlm.nih.gov/nucleotide/XM_018878767.1?report=genbank&amp;log$=nucltop&amp;blast_rank=73&amp;RID=GYTFJ3XW013","XM_018878767.1")</f>
        <v>XM_018878767.1</v>
      </c>
    </row>
    <row r="573" spans="1:7" x14ac:dyDescent="0.35">
      <c r="A573" t="s">
        <v>547</v>
      </c>
      <c r="B573">
        <v>54.3</v>
      </c>
      <c r="C573">
        <v>54.3</v>
      </c>
      <c r="D573" s="2">
        <v>0.39</v>
      </c>
      <c r="E573" s="3">
        <v>2.0000000000000001E-4</v>
      </c>
      <c r="F573">
        <v>34.94</v>
      </c>
      <c r="G573" t="str">
        <f>HYPERLINK("https://www.ncbi.nlm.nih.gov/nucleotide/CP014501.1?report=genbank&amp;log$=nucltop&amp;blast_rank=74&amp;RID=GYTFJ3XW013","CP014501.1")</f>
        <v>CP014501.1</v>
      </c>
    </row>
    <row r="574" spans="1:7" x14ac:dyDescent="0.35">
      <c r="A574" t="s">
        <v>553</v>
      </c>
      <c r="B574">
        <v>89.4</v>
      </c>
      <c r="C574">
        <v>89.4</v>
      </c>
      <c r="D574" s="2">
        <v>0.99</v>
      </c>
      <c r="E574" s="3">
        <v>1.0000000000000001E-17</v>
      </c>
      <c r="F574">
        <v>34.799999999999997</v>
      </c>
      <c r="G574" t="str">
        <f>HYPERLINK("https://www.ncbi.nlm.nih.gov/nucleotide/XM_027759404.1?report=genbank&amp;log$=nucltop&amp;blast_rank=75&amp;RID=GYTFJ3XW013","XM_027759404.1")</f>
        <v>XM_027759404.1</v>
      </c>
    </row>
    <row r="575" spans="1:7" x14ac:dyDescent="0.35">
      <c r="A575" t="s">
        <v>534</v>
      </c>
      <c r="B575">
        <v>88.2</v>
      </c>
      <c r="C575">
        <v>88.2</v>
      </c>
      <c r="D575" s="2">
        <v>0.9</v>
      </c>
      <c r="E575" s="3">
        <v>4.9999999999999999E-17</v>
      </c>
      <c r="F575">
        <v>34.39</v>
      </c>
      <c r="G575" t="str">
        <f>HYPERLINK("https://www.ncbi.nlm.nih.gov/nucleotide/XM_006456006.1?report=genbank&amp;log$=nucltop&amp;blast_rank=76&amp;RID=GYTFJ3XW013","XM_006456006.1")</f>
        <v>XM_006456006.1</v>
      </c>
    </row>
    <row r="576" spans="1:7" x14ac:dyDescent="0.35">
      <c r="A576" t="s">
        <v>541</v>
      </c>
      <c r="B576">
        <v>86.3</v>
      </c>
      <c r="C576">
        <v>86.3</v>
      </c>
      <c r="D576" s="2">
        <v>0.9</v>
      </c>
      <c r="E576" s="3">
        <v>2.0000000000000002E-15</v>
      </c>
      <c r="F576">
        <v>33.93</v>
      </c>
      <c r="G576" t="str">
        <f>HYPERLINK("https://www.ncbi.nlm.nih.gov/nucleotide/XM_007331837.1?report=genbank&amp;log$=nucltop&amp;blast_rank=77&amp;RID=GYTFJ3XW013","XM_007331837.1")</f>
        <v>XM_007331837.1</v>
      </c>
    </row>
    <row r="577" spans="1:7" x14ac:dyDescent="0.35">
      <c r="A577" t="s">
        <v>555</v>
      </c>
      <c r="B577">
        <v>91.7</v>
      </c>
      <c r="C577">
        <v>91.7</v>
      </c>
      <c r="D577" s="2">
        <v>0.9</v>
      </c>
      <c r="E577" s="3">
        <v>8.9999999999999999E-18</v>
      </c>
      <c r="F577">
        <v>33.49</v>
      </c>
      <c r="G577" t="str">
        <f>HYPERLINK("https://www.ncbi.nlm.nih.gov/nucleotide/XM_009554598.1?report=genbank&amp;log$=nucltop&amp;blast_rank=78&amp;RID=GYTFJ3XW013","XM_009554598.1")</f>
        <v>XM_009554598.1</v>
      </c>
    </row>
    <row r="578" spans="1:7" x14ac:dyDescent="0.35">
      <c r="A578" t="s">
        <v>204</v>
      </c>
      <c r="B578">
        <v>91.7</v>
      </c>
      <c r="C578">
        <v>91.7</v>
      </c>
      <c r="D578" s="2">
        <v>0.99</v>
      </c>
      <c r="E578" s="3">
        <v>2.9999999999999998E-18</v>
      </c>
      <c r="F578">
        <v>33.479999999999997</v>
      </c>
      <c r="G578" t="str">
        <f>HYPERLINK("https://www.ncbi.nlm.nih.gov/nucleotide/XM_008043238.1?report=genbank&amp;log$=nucltop&amp;blast_rank=79&amp;RID=GYTFJ3XW013","XM_008043238.1")</f>
        <v>XM_008043238.1</v>
      </c>
    </row>
    <row r="579" spans="1:7" x14ac:dyDescent="0.35">
      <c r="A579" t="s">
        <v>552</v>
      </c>
      <c r="B579">
        <v>86.7</v>
      </c>
      <c r="C579">
        <v>86.7</v>
      </c>
      <c r="D579" s="2">
        <v>0.84</v>
      </c>
      <c r="E579" s="3">
        <v>7.0000000000000003E-16</v>
      </c>
      <c r="F579">
        <v>33.33</v>
      </c>
      <c r="G579" t="str">
        <f>HYPERLINK("https://www.ncbi.nlm.nih.gov/nucleotide/XM_007307010.1?report=genbank&amp;log$=nucltop&amp;blast_rank=80&amp;RID=GYTFJ3XW013","XM_007307010.1")</f>
        <v>XM_007307010.1</v>
      </c>
    </row>
    <row r="580" spans="1:7" x14ac:dyDescent="0.35">
      <c r="A580" t="s">
        <v>889</v>
      </c>
      <c r="B580">
        <v>84.7</v>
      </c>
      <c r="C580">
        <v>84.7</v>
      </c>
      <c r="D580" s="2">
        <v>0.9</v>
      </c>
      <c r="E580" s="3">
        <v>4.0000000000000003E-15</v>
      </c>
      <c r="F580">
        <v>33.159999999999997</v>
      </c>
      <c r="G580" t="str">
        <f>HYPERLINK("https://www.ncbi.nlm.nih.gov/nucleotide/XM_041449461.1?report=genbank&amp;log$=nucltop&amp;blast_rank=81&amp;RID=GYTFJ3XW013","XM_041449461.1")</f>
        <v>XM_041449461.1</v>
      </c>
    </row>
    <row r="581" spans="1:7" x14ac:dyDescent="0.35">
      <c r="A581" t="s">
        <v>890</v>
      </c>
      <c r="B581">
        <v>80.099999999999994</v>
      </c>
      <c r="C581">
        <v>80.099999999999994</v>
      </c>
      <c r="D581" s="2">
        <v>0.9</v>
      </c>
      <c r="E581" s="3">
        <v>2E-14</v>
      </c>
      <c r="F581">
        <v>32.119999999999997</v>
      </c>
      <c r="G581" t="str">
        <f>HYPERLINK("https://www.ncbi.nlm.nih.gov/nucleotide/XM_041305309.1?report=genbank&amp;log$=nucltop&amp;blast_rank=82&amp;RID=GYTFJ3XW013","XM_041305309.1")</f>
        <v>XM_041305309.1</v>
      </c>
    </row>
    <row r="582" spans="1:7" x14ac:dyDescent="0.35">
      <c r="A582" t="s">
        <v>891</v>
      </c>
      <c r="B582">
        <v>80.099999999999994</v>
      </c>
      <c r="C582">
        <v>80.099999999999994</v>
      </c>
      <c r="D582" s="2">
        <v>0.9</v>
      </c>
      <c r="E582" s="3">
        <v>1E-13</v>
      </c>
      <c r="F582">
        <v>31.61</v>
      </c>
      <c r="G582" t="str">
        <f>HYPERLINK("https://www.ncbi.nlm.nih.gov/nucleotide/XM_041390255.1?report=genbank&amp;log$=nucltop&amp;blast_rank=83&amp;RID=GYTFJ3XW013","XM_041390255.1")</f>
        <v>XM_041390255.1</v>
      </c>
    </row>
    <row r="583" spans="1:7" x14ac:dyDescent="0.35">
      <c r="A583" t="s">
        <v>892</v>
      </c>
      <c r="B583">
        <v>80.5</v>
      </c>
      <c r="C583">
        <v>80.5</v>
      </c>
      <c r="D583" s="2">
        <v>0.9</v>
      </c>
      <c r="E583" s="3">
        <v>1E-13</v>
      </c>
      <c r="F583">
        <v>31.61</v>
      </c>
      <c r="G583" t="str">
        <f>HYPERLINK("https://www.ncbi.nlm.nih.gov/nucleotide/XM_041336546.1?report=genbank&amp;log$=nucltop&amp;blast_rank=84&amp;RID=GYTFJ3XW013","XM_041336546.1")</f>
        <v>XM_041336546.1</v>
      </c>
    </row>
    <row r="584" spans="1:7" x14ac:dyDescent="0.35">
      <c r="A584" t="s">
        <v>893</v>
      </c>
      <c r="B584">
        <v>75.5</v>
      </c>
      <c r="C584">
        <v>75.5</v>
      </c>
      <c r="D584" s="2">
        <v>0.9</v>
      </c>
      <c r="E584" s="3">
        <v>7.0000000000000001E-12</v>
      </c>
      <c r="F584">
        <v>31.61</v>
      </c>
      <c r="G584" t="str">
        <f>HYPERLINK("https://www.ncbi.nlm.nih.gov/nucleotide/XM_041319307.1?report=genbank&amp;log$=nucltop&amp;blast_rank=85&amp;RID=GYTFJ3XW013","XM_041319307.1")</f>
        <v>XM_041319307.1</v>
      </c>
    </row>
    <row r="585" spans="1:7" x14ac:dyDescent="0.35">
      <c r="A585" t="s">
        <v>554</v>
      </c>
      <c r="B585">
        <v>59.7</v>
      </c>
      <c r="C585">
        <v>59.7</v>
      </c>
      <c r="D585" s="2">
        <v>0.81</v>
      </c>
      <c r="E585" s="3">
        <v>8.9999999999999996E-7</v>
      </c>
      <c r="F585">
        <v>28.98</v>
      </c>
      <c r="G585" t="str">
        <f>HYPERLINK("https://www.ncbi.nlm.nih.gov/nucleotide/XM_039054122.1?report=genbank&amp;log$=nucltop&amp;blast_rank=86&amp;RID=GYTFJ3XW013","XM_039054122.1")</f>
        <v>XM_039054122.1</v>
      </c>
    </row>
    <row r="586" spans="1:7" x14ac:dyDescent="0.35">
      <c r="A586" s="1" t="s">
        <v>926</v>
      </c>
    </row>
    <row r="587" spans="1:7" x14ac:dyDescent="0.35">
      <c r="A587" s="1" t="s">
        <v>2</v>
      </c>
      <c r="B587" s="1" t="s">
        <v>3</v>
      </c>
      <c r="C587" s="1" t="s">
        <v>4</v>
      </c>
      <c r="D587" s="1" t="s">
        <v>5</v>
      </c>
      <c r="E587" s="1" t="s">
        <v>6</v>
      </c>
      <c r="F587" s="1" t="s">
        <v>7</v>
      </c>
      <c r="G587" s="1" t="s">
        <v>8</v>
      </c>
    </row>
    <row r="588" spans="1:7" x14ac:dyDescent="0.35">
      <c r="A588" t="s">
        <v>37</v>
      </c>
      <c r="B588">
        <v>904</v>
      </c>
      <c r="C588">
        <v>983</v>
      </c>
      <c r="D588" s="2">
        <v>0.99</v>
      </c>
      <c r="E588">
        <v>0</v>
      </c>
      <c r="F588">
        <v>88.93</v>
      </c>
      <c r="G588" t="str">
        <f>HYPERLINK("https://www.ncbi.nlm.nih.gov/nucleotide/LR732085.1?report=genbank&amp;log$=nucltop&amp;blast_rank=1&amp;RID=GYTNFFT7016","LR732085.1")</f>
        <v>LR732085.1</v>
      </c>
    </row>
    <row r="589" spans="1:7" x14ac:dyDescent="0.35">
      <c r="A589" t="s">
        <v>29</v>
      </c>
      <c r="B589">
        <v>405</v>
      </c>
      <c r="C589">
        <v>405</v>
      </c>
      <c r="D589" s="2">
        <v>0.72</v>
      </c>
      <c r="E589" s="3">
        <v>1.0000000000000001E-130</v>
      </c>
      <c r="F589">
        <v>49.53</v>
      </c>
      <c r="G589" t="str">
        <f>HYPERLINK("https://www.ncbi.nlm.nih.gov/nucleotide/XM_036779059.1?report=genbank&amp;log$=nucltop&amp;blast_rank=2&amp;RID=GYTNFFT7016","XM_036779059.1")</f>
        <v>XM_036779059.1</v>
      </c>
    </row>
    <row r="590" spans="1:7" x14ac:dyDescent="0.35">
      <c r="A590" t="s">
        <v>19</v>
      </c>
      <c r="B590">
        <v>397</v>
      </c>
      <c r="C590">
        <v>397</v>
      </c>
      <c r="D590" s="2">
        <v>0.73</v>
      </c>
      <c r="E590" s="3">
        <v>8.9999999999999998E-128</v>
      </c>
      <c r="F590">
        <v>48.85</v>
      </c>
      <c r="G590" t="str">
        <f>HYPERLINK("https://www.ncbi.nlm.nih.gov/nucleotide/XM_001880890.1?report=genbank&amp;log$=nucltop&amp;blast_rank=3&amp;RID=GYTNFFT7016","XM_001880890.1")</f>
        <v>XM_001880890.1</v>
      </c>
    </row>
    <row r="591" spans="1:7" x14ac:dyDescent="0.35">
      <c r="A591" t="s">
        <v>24</v>
      </c>
      <c r="B591">
        <v>405</v>
      </c>
      <c r="C591">
        <v>405</v>
      </c>
      <c r="D591" s="2">
        <v>0.75</v>
      </c>
      <c r="E591" s="3">
        <v>1.0000000000000001E-130</v>
      </c>
      <c r="F591">
        <v>48.65</v>
      </c>
      <c r="G591" t="str">
        <f>HYPERLINK("https://www.ncbi.nlm.nih.gov/nucleotide/XM_037359093.1?report=genbank&amp;log$=nucltop&amp;blast_rank=4&amp;RID=GYTNFFT7016","XM_037359093.1")</f>
        <v>XM_037359093.1</v>
      </c>
    </row>
    <row r="592" spans="1:7" x14ac:dyDescent="0.35">
      <c r="A592" t="s">
        <v>33</v>
      </c>
      <c r="B592">
        <v>387</v>
      </c>
      <c r="C592">
        <v>387</v>
      </c>
      <c r="D592" s="2">
        <v>0.73</v>
      </c>
      <c r="E592" s="3">
        <v>5.9999999999999997E-123</v>
      </c>
      <c r="F592">
        <v>47.63</v>
      </c>
      <c r="G592" t="str">
        <f>HYPERLINK("https://www.ncbi.nlm.nih.gov/nucleotide/XM_007300020.1?report=genbank&amp;log$=nucltop&amp;blast_rank=5&amp;RID=GYTNFFT7016","XM_007300020.1")</f>
        <v>XM_007300020.1</v>
      </c>
    </row>
    <row r="593" spans="1:7" x14ac:dyDescent="0.35">
      <c r="A593" t="s">
        <v>34</v>
      </c>
      <c r="B593">
        <v>422</v>
      </c>
      <c r="C593">
        <v>422</v>
      </c>
      <c r="D593" s="2">
        <v>0.81</v>
      </c>
      <c r="E593" s="3">
        <v>5E-137</v>
      </c>
      <c r="F593">
        <v>47.61</v>
      </c>
      <c r="G593" t="str">
        <f>HYPERLINK("https://www.ncbi.nlm.nih.gov/nucleotide/XM_001836368.2?report=genbank&amp;log$=nucltop&amp;blast_rank=6&amp;RID=GYTNFFT7016","XM_001836368.2")</f>
        <v>XM_001836368.2</v>
      </c>
    </row>
    <row r="594" spans="1:7" x14ac:dyDescent="0.35">
      <c r="A594" t="s">
        <v>9</v>
      </c>
      <c r="B594">
        <v>146</v>
      </c>
      <c r="C594">
        <v>257</v>
      </c>
      <c r="D594" s="2">
        <v>0.51</v>
      </c>
      <c r="E594" s="3">
        <v>1E-51</v>
      </c>
      <c r="F594">
        <v>47.47</v>
      </c>
      <c r="G594" t="str">
        <f>HYPERLINK("https://www.ncbi.nlm.nih.gov/nucleotide/LR732079.1?report=genbank&amp;log$=nucltop&amp;blast_rank=7&amp;RID=GYTNFFT7016","LR732079.1")</f>
        <v>LR732079.1</v>
      </c>
    </row>
    <row r="595" spans="1:7" x14ac:dyDescent="0.35">
      <c r="A595" t="s">
        <v>25</v>
      </c>
      <c r="B595">
        <v>385</v>
      </c>
      <c r="C595">
        <v>385</v>
      </c>
      <c r="D595" s="2">
        <v>0.73</v>
      </c>
      <c r="E595" s="3">
        <v>1.0000000000000001E-122</v>
      </c>
      <c r="F595">
        <v>46.76</v>
      </c>
      <c r="G595" t="str">
        <f>HYPERLINK("https://www.ncbi.nlm.nih.gov/nucleotide/XM_007330400.1?report=genbank&amp;log$=nucltop&amp;blast_rank=8&amp;RID=GYTNFFT7016","XM_007330400.1")</f>
        <v>XM_007330400.1</v>
      </c>
    </row>
    <row r="596" spans="1:7" x14ac:dyDescent="0.35">
      <c r="A596" t="s">
        <v>26</v>
      </c>
      <c r="B596">
        <v>384</v>
      </c>
      <c r="C596">
        <v>384</v>
      </c>
      <c r="D596" s="2">
        <v>0.73</v>
      </c>
      <c r="E596" s="3">
        <v>4.9999999999999999E-122</v>
      </c>
      <c r="F596">
        <v>46.53</v>
      </c>
      <c r="G596" t="str">
        <f>HYPERLINK("https://www.ncbi.nlm.nih.gov/nucleotide/XM_006459162.1?report=genbank&amp;log$=nucltop&amp;blast_rank=9&amp;RID=GYTNFFT7016","XM_006459162.1")</f>
        <v>XM_006459162.1</v>
      </c>
    </row>
    <row r="597" spans="1:7" x14ac:dyDescent="0.35">
      <c r="A597" t="s">
        <v>21</v>
      </c>
      <c r="B597">
        <v>384</v>
      </c>
      <c r="C597">
        <v>384</v>
      </c>
      <c r="D597" s="2">
        <v>0.78</v>
      </c>
      <c r="E597" s="3">
        <v>9.9999999999999998E-122</v>
      </c>
      <c r="F597">
        <v>44.47</v>
      </c>
      <c r="G597" t="str">
        <f>HYPERLINK("https://www.ncbi.nlm.nih.gov/nucleotide/XM_009546985.1?report=genbank&amp;log$=nucltop&amp;blast_rank=10&amp;RID=GYTNFFT7016","XM_009546985.1")</f>
        <v>XM_009546985.1</v>
      </c>
    </row>
    <row r="598" spans="1:7" x14ac:dyDescent="0.35">
      <c r="A598" t="s">
        <v>32</v>
      </c>
      <c r="B598">
        <v>322</v>
      </c>
      <c r="C598">
        <v>322</v>
      </c>
      <c r="D598" s="2">
        <v>0.73</v>
      </c>
      <c r="E598" s="3">
        <v>4.9999999999999999E-96</v>
      </c>
      <c r="F598">
        <v>40.32</v>
      </c>
      <c r="G598" t="str">
        <f>HYPERLINK("https://www.ncbi.nlm.nih.gov/nucleotide/XM_018429091.1?report=genbank&amp;log$=nucltop&amp;blast_rank=11&amp;RID=GYTNFFT7016","XM_018429091.1")</f>
        <v>XM_018429091.1</v>
      </c>
    </row>
    <row r="599" spans="1:7" x14ac:dyDescent="0.35">
      <c r="A599" t="s">
        <v>16</v>
      </c>
      <c r="B599">
        <v>204</v>
      </c>
      <c r="C599">
        <v>665</v>
      </c>
      <c r="D599" s="2">
        <v>0.79</v>
      </c>
      <c r="E599" s="3">
        <v>9.9999999999999997E-61</v>
      </c>
      <c r="F599">
        <v>40.26</v>
      </c>
      <c r="G599" t="str">
        <f>HYPERLINK("https://www.ncbi.nlm.nih.gov/nucleotide/CP039877.1?report=genbank&amp;log$=nucltop&amp;blast_rank=12&amp;RID=GYTNFFT7016","CP039877.1")</f>
        <v>CP039877.1</v>
      </c>
    </row>
    <row r="600" spans="1:7" x14ac:dyDescent="0.35">
      <c r="A600" t="s">
        <v>17</v>
      </c>
      <c r="B600">
        <v>204</v>
      </c>
      <c r="C600">
        <v>665</v>
      </c>
      <c r="D600" s="2">
        <v>0.79</v>
      </c>
      <c r="E600" s="3">
        <v>9.9999999999999997E-61</v>
      </c>
      <c r="F600">
        <v>40.26</v>
      </c>
      <c r="G600" t="str">
        <f>HYPERLINK("https://www.ncbi.nlm.nih.gov/nucleotide/CP015461.1?report=genbank&amp;log$=nucltop&amp;blast_rank=13&amp;RID=GYTNFFT7016","CP015461.1")</f>
        <v>CP015461.1</v>
      </c>
    </row>
    <row r="601" spans="1:7" x14ac:dyDescent="0.35">
      <c r="A601" t="s">
        <v>18</v>
      </c>
      <c r="B601">
        <v>204</v>
      </c>
      <c r="C601">
        <v>665</v>
      </c>
      <c r="D601" s="2">
        <v>0.79</v>
      </c>
      <c r="E601" s="3">
        <v>9.9999999999999997E-61</v>
      </c>
      <c r="F601">
        <v>40.26</v>
      </c>
      <c r="G601" t="str">
        <f>HYPERLINK("https://www.ncbi.nlm.nih.gov/nucleotide/CP015474.1?report=genbank&amp;log$=nucltop&amp;blast_rank=14&amp;RID=GYTNFFT7016","CP015474.1")</f>
        <v>CP015474.1</v>
      </c>
    </row>
    <row r="602" spans="1:7" x14ac:dyDescent="0.35">
      <c r="A602" t="s">
        <v>27</v>
      </c>
      <c r="B602">
        <v>162</v>
      </c>
      <c r="C602">
        <v>319</v>
      </c>
      <c r="D602" s="2">
        <v>0.73</v>
      </c>
      <c r="E602" s="3">
        <v>6.0000000000000003E-70</v>
      </c>
      <c r="F602">
        <v>40.26</v>
      </c>
      <c r="G602" t="str">
        <f>HYPERLINK("https://www.ncbi.nlm.nih.gov/nucleotide/CP031830.1?report=genbank&amp;log$=nucltop&amp;blast_rank=15&amp;RID=GYTNFFT7016","CP031830.1")</f>
        <v>CP031830.1</v>
      </c>
    </row>
    <row r="603" spans="1:7" x14ac:dyDescent="0.35">
      <c r="A603" t="s">
        <v>28</v>
      </c>
      <c r="B603">
        <v>162</v>
      </c>
      <c r="C603">
        <v>319</v>
      </c>
      <c r="D603" s="2">
        <v>0.73</v>
      </c>
      <c r="E603" s="3">
        <v>6.0000000000000003E-70</v>
      </c>
      <c r="F603">
        <v>40.26</v>
      </c>
      <c r="G603" t="str">
        <f>HYPERLINK("https://www.ncbi.nlm.nih.gov/nucleotide/LK023335.1?report=genbank&amp;log$=nucltop&amp;blast_rank=16&amp;RID=GYTNFFT7016","LK023335.1")</f>
        <v>LK023335.1</v>
      </c>
    </row>
    <row r="604" spans="1:7" x14ac:dyDescent="0.35">
      <c r="A604" t="s">
        <v>473</v>
      </c>
      <c r="B604">
        <v>199</v>
      </c>
      <c r="C604">
        <v>602</v>
      </c>
      <c r="D604" s="2">
        <v>0.74</v>
      </c>
      <c r="E604" s="3">
        <v>2E-50</v>
      </c>
      <c r="F604">
        <v>39.35</v>
      </c>
      <c r="G604" t="str">
        <f>HYPERLINK("https://www.ncbi.nlm.nih.gov/nucleotide/CP068007.1?report=genbank&amp;log$=nucltop&amp;blast_rank=17&amp;RID=GYTNFFT7016","CP068007.1")</f>
        <v>CP068007.1</v>
      </c>
    </row>
    <row r="605" spans="1:7" x14ac:dyDescent="0.35">
      <c r="A605" t="s">
        <v>19</v>
      </c>
      <c r="B605">
        <v>286</v>
      </c>
      <c r="C605">
        <v>286</v>
      </c>
      <c r="D605" s="2">
        <v>0.72</v>
      </c>
      <c r="E605" s="3">
        <v>2.0000000000000001E-84</v>
      </c>
      <c r="F605">
        <v>39.049999999999997</v>
      </c>
      <c r="G605" t="str">
        <f>HYPERLINK("https://www.ncbi.nlm.nih.gov/nucleotide/XM_001880889.1?report=genbank&amp;log$=nucltop&amp;blast_rank=18&amp;RID=GYTNFFT7016","XM_001880889.1")</f>
        <v>XM_001880889.1</v>
      </c>
    </row>
    <row r="606" spans="1:7" x14ac:dyDescent="0.35">
      <c r="A606" t="s">
        <v>11</v>
      </c>
      <c r="B606">
        <v>299</v>
      </c>
      <c r="C606">
        <v>299</v>
      </c>
      <c r="D606" s="2">
        <v>0.82</v>
      </c>
      <c r="E606" s="3">
        <v>2.9999999999999999E-89</v>
      </c>
      <c r="F606">
        <v>38.049999999999997</v>
      </c>
      <c r="G606" t="str">
        <f>HYPERLINK("https://www.ncbi.nlm.nih.gov/nucleotide/AB551982.1?report=genbank&amp;log$=nucltop&amp;blast_rank=19&amp;RID=GYTNFFT7016","AB551982.1")</f>
        <v>AB551982.1</v>
      </c>
    </row>
    <row r="607" spans="1:7" x14ac:dyDescent="0.35">
      <c r="A607" t="s">
        <v>12</v>
      </c>
      <c r="B607">
        <v>270</v>
      </c>
      <c r="C607">
        <v>270</v>
      </c>
      <c r="D607" s="2">
        <v>0.75</v>
      </c>
      <c r="E607" s="3">
        <v>7.0000000000000006E-79</v>
      </c>
      <c r="F607">
        <v>37.99</v>
      </c>
      <c r="G607" t="str">
        <f>HYPERLINK("https://www.ncbi.nlm.nih.gov/nucleotide/XM_036779060.1?report=genbank&amp;log$=nucltop&amp;blast_rank=20&amp;RID=GYTNFFT7016","XM_036779060.1")</f>
        <v>XM_036779060.1</v>
      </c>
    </row>
    <row r="608" spans="1:7" x14ac:dyDescent="0.35">
      <c r="A608" t="s">
        <v>21</v>
      </c>
      <c r="B608">
        <v>271</v>
      </c>
      <c r="C608">
        <v>271</v>
      </c>
      <c r="D608" s="2">
        <v>0.73</v>
      </c>
      <c r="E608" s="3">
        <v>4E-78</v>
      </c>
      <c r="F608">
        <v>37.81</v>
      </c>
      <c r="G608" t="str">
        <f>HYPERLINK("https://www.ncbi.nlm.nih.gov/nucleotide/XM_009546986.1?report=genbank&amp;log$=nucltop&amp;blast_rank=21&amp;RID=GYTNFFT7016","XM_009546986.1")</f>
        <v>XM_009546986.1</v>
      </c>
    </row>
    <row r="609" spans="1:7" x14ac:dyDescent="0.35">
      <c r="A609" t="s">
        <v>14</v>
      </c>
      <c r="B609">
        <v>290</v>
      </c>
      <c r="C609">
        <v>290</v>
      </c>
      <c r="D609" s="2">
        <v>0.8</v>
      </c>
      <c r="E609" s="3">
        <v>2E-85</v>
      </c>
      <c r="F609">
        <v>37.31</v>
      </c>
      <c r="G609" t="str">
        <f>HYPERLINK("https://www.ncbi.nlm.nih.gov/nucleotide/XM_007330301.1?report=genbank&amp;log$=nucltop&amp;blast_rank=22&amp;RID=GYTNFFT7016","XM_007330301.1")</f>
        <v>XM_007330301.1</v>
      </c>
    </row>
    <row r="610" spans="1:7" x14ac:dyDescent="0.35">
      <c r="A610" t="s">
        <v>15</v>
      </c>
      <c r="B610">
        <v>288</v>
      </c>
      <c r="C610">
        <v>288</v>
      </c>
      <c r="D610" s="2">
        <v>0.8</v>
      </c>
      <c r="E610" s="3">
        <v>5.0000000000000002E-85</v>
      </c>
      <c r="F610">
        <v>37.31</v>
      </c>
      <c r="G610" t="str">
        <f>HYPERLINK("https://www.ncbi.nlm.nih.gov/nucleotide/XM_006459161.1?report=genbank&amp;log$=nucltop&amp;blast_rank=23&amp;RID=GYTNFFT7016","XM_006459161.1")</f>
        <v>XM_006459161.1</v>
      </c>
    </row>
    <row r="611" spans="1:7" x14ac:dyDescent="0.35">
      <c r="A611" t="s">
        <v>35</v>
      </c>
      <c r="B611">
        <v>314</v>
      </c>
      <c r="C611">
        <v>314</v>
      </c>
      <c r="D611" s="2">
        <v>0.82</v>
      </c>
      <c r="E611" s="3">
        <v>3.0000000000000001E-95</v>
      </c>
      <c r="F611">
        <v>36.94</v>
      </c>
      <c r="G611" t="str">
        <f>HYPERLINK("https://www.ncbi.nlm.nih.gov/nucleotide/XM_023610462.1?report=genbank&amp;log$=nucltop&amp;blast_rank=24&amp;RID=GYTNFFT7016","XM_023610462.1")</f>
        <v>XM_023610462.1</v>
      </c>
    </row>
    <row r="612" spans="1:7" x14ac:dyDescent="0.35">
      <c r="A612" t="s">
        <v>22</v>
      </c>
      <c r="B612">
        <v>233</v>
      </c>
      <c r="C612">
        <v>233</v>
      </c>
      <c r="D612" s="2">
        <v>0.7</v>
      </c>
      <c r="E612" s="3">
        <v>3E-65</v>
      </c>
      <c r="F612">
        <v>36.36</v>
      </c>
      <c r="G612" t="str">
        <f>HYPERLINK("https://www.ncbi.nlm.nih.gov/nucleotide/XM_001836369.2?report=genbank&amp;log$=nucltop&amp;blast_rank=25&amp;RID=GYTNFFT7016","XM_001836369.2")</f>
        <v>XM_001836369.2</v>
      </c>
    </row>
    <row r="613" spans="1:7" x14ac:dyDescent="0.35">
      <c r="A613" t="s">
        <v>39</v>
      </c>
      <c r="B613">
        <v>278</v>
      </c>
      <c r="C613">
        <v>278</v>
      </c>
      <c r="D613" s="2">
        <v>0.73</v>
      </c>
      <c r="E613" s="3">
        <v>1.9999999999999999E-81</v>
      </c>
      <c r="F613">
        <v>36.32</v>
      </c>
      <c r="G613" t="str">
        <f>HYPERLINK("https://www.ncbi.nlm.nih.gov/nucleotide/XM_025316703.1?report=genbank&amp;log$=nucltop&amp;blast_rank=26&amp;RID=GYTNFFT7016","XM_025316703.1")</f>
        <v>XM_025316703.1</v>
      </c>
    </row>
    <row r="614" spans="1:7" x14ac:dyDescent="0.35">
      <c r="A614" t="s">
        <v>30</v>
      </c>
      <c r="B614">
        <v>140</v>
      </c>
      <c r="C614">
        <v>310</v>
      </c>
      <c r="D614" s="2">
        <v>0.71</v>
      </c>
      <c r="E614" s="3">
        <v>1.9999999999999999E-34</v>
      </c>
      <c r="F614">
        <v>35.86</v>
      </c>
      <c r="G614" t="str">
        <f>HYPERLINK("https://www.ncbi.nlm.nih.gov/nucleotide/CP031825.1?report=genbank&amp;log$=nucltop&amp;blast_rank=27&amp;RID=GYTNFFT7016","CP031825.1")</f>
        <v>CP031825.1</v>
      </c>
    </row>
    <row r="615" spans="1:7" x14ac:dyDescent="0.35">
      <c r="A615" t="s">
        <v>31</v>
      </c>
      <c r="B615">
        <v>140</v>
      </c>
      <c r="C615">
        <v>310</v>
      </c>
      <c r="D615" s="2">
        <v>0.71</v>
      </c>
      <c r="E615" s="3">
        <v>1.9999999999999999E-34</v>
      </c>
      <c r="F615">
        <v>35.86</v>
      </c>
      <c r="G615" t="str">
        <f>HYPERLINK("https://www.ncbi.nlm.nih.gov/nucleotide/LK023313.1?report=genbank&amp;log$=nucltop&amp;blast_rank=28&amp;RID=GYTNFFT7016","LK023313.1")</f>
        <v>LK023313.1</v>
      </c>
    </row>
    <row r="616" spans="1:7" x14ac:dyDescent="0.35">
      <c r="A616" t="s">
        <v>777</v>
      </c>
      <c r="B616">
        <v>227</v>
      </c>
      <c r="C616">
        <v>227</v>
      </c>
      <c r="D616" s="2">
        <v>0.73</v>
      </c>
      <c r="E616" s="3">
        <v>2.0000000000000001E-63</v>
      </c>
      <c r="F616">
        <v>35.03</v>
      </c>
      <c r="G616" t="str">
        <f>HYPERLINK("https://www.ncbi.nlm.nih.gov/nucleotide/XM_040884745.1?report=genbank&amp;log$=nucltop&amp;blast_rank=29&amp;RID=GYTNFFT7016","XM_040884745.1")</f>
        <v>XM_040884745.1</v>
      </c>
    </row>
    <row r="617" spans="1:7" x14ac:dyDescent="0.35">
      <c r="A617" t="s">
        <v>20</v>
      </c>
      <c r="B617">
        <v>152</v>
      </c>
      <c r="C617">
        <v>302</v>
      </c>
      <c r="D617" s="2">
        <v>0.74</v>
      </c>
      <c r="E617" s="3">
        <v>4.9999999999999998E-65</v>
      </c>
      <c r="F617">
        <v>34.950000000000003</v>
      </c>
      <c r="G617" t="str">
        <f>HYPERLINK("https://www.ncbi.nlm.nih.gov/nucleotide/KJ999702.1?report=genbank&amp;log$=nucltop&amp;blast_rank=30&amp;RID=GYTNFFT7016","KJ999702.1")</f>
        <v>KJ999702.1</v>
      </c>
    </row>
    <row r="618" spans="1:7" x14ac:dyDescent="0.35">
      <c r="A618" t="s">
        <v>772</v>
      </c>
      <c r="B618">
        <v>301</v>
      </c>
      <c r="C618">
        <v>301</v>
      </c>
      <c r="D618" s="2">
        <v>0.81</v>
      </c>
      <c r="E618" s="3">
        <v>9.9999999999999993E-89</v>
      </c>
      <c r="F618">
        <v>34.950000000000003</v>
      </c>
      <c r="G618" t="str">
        <f>HYPERLINK("https://www.ncbi.nlm.nih.gov/nucleotide/XM_040776151.1?report=genbank&amp;log$=nucltop&amp;blast_rank=31&amp;RID=GYTNFFT7016","XM_040776151.1")</f>
        <v>XM_040776151.1</v>
      </c>
    </row>
    <row r="619" spans="1:7" x14ac:dyDescent="0.35">
      <c r="A619" s="4" t="s">
        <v>13</v>
      </c>
      <c r="B619" s="4">
        <v>269</v>
      </c>
      <c r="C619" s="4">
        <v>269</v>
      </c>
      <c r="D619" s="5">
        <v>0.81</v>
      </c>
      <c r="E619" s="6">
        <v>5.9999999999999998E-78</v>
      </c>
      <c r="F619" s="4">
        <v>34.18</v>
      </c>
      <c r="G619" s="4" t="str">
        <f>HYPERLINK("https://www.ncbi.nlm.nih.gov/nucleotide/XM_037359092.1?report=genbank&amp;log$=nucltop&amp;blast_rank=32&amp;RID=GYTNFFT7016","XM_037359092.1")</f>
        <v>XM_037359092.1</v>
      </c>
    </row>
    <row r="620" spans="1:7" x14ac:dyDescent="0.35">
      <c r="A620" t="s">
        <v>36</v>
      </c>
      <c r="B620">
        <v>92</v>
      </c>
      <c r="C620">
        <v>183</v>
      </c>
      <c r="D620" s="2">
        <v>0.7</v>
      </c>
      <c r="E620" s="3">
        <v>1E-35</v>
      </c>
      <c r="F620">
        <v>33.74</v>
      </c>
      <c r="G620" t="str">
        <f>HYPERLINK("https://www.ncbi.nlm.nih.gov/nucleotide/AM270105.1?report=genbank&amp;log$=nucltop&amp;blast_rank=33&amp;RID=GYTNFFT7016","AM270105.1")</f>
        <v>AM270105.1</v>
      </c>
    </row>
    <row r="621" spans="1:7" x14ac:dyDescent="0.35">
      <c r="A621" t="s">
        <v>776</v>
      </c>
      <c r="B621">
        <v>239</v>
      </c>
      <c r="C621">
        <v>239</v>
      </c>
      <c r="D621" s="2">
        <v>0.74</v>
      </c>
      <c r="E621" s="3">
        <v>3.9999999999999999E-66</v>
      </c>
      <c r="F621">
        <v>33.71</v>
      </c>
      <c r="G621" t="str">
        <f>HYPERLINK("https://www.ncbi.nlm.nih.gov/nucleotide/XM_040887042.1?report=genbank&amp;log$=nucltop&amp;blast_rank=34&amp;RID=GYTNFFT7016","XM_040887042.1")</f>
        <v>XM_040887042.1</v>
      </c>
    </row>
    <row r="622" spans="1:7" x14ac:dyDescent="0.35">
      <c r="A622" s="4" t="s">
        <v>41</v>
      </c>
      <c r="B622" s="4">
        <v>195</v>
      </c>
      <c r="C622" s="4">
        <v>195</v>
      </c>
      <c r="D622" s="5">
        <v>0.72</v>
      </c>
      <c r="E622" s="6">
        <v>6.9999999999999995E-51</v>
      </c>
      <c r="F622" s="4">
        <v>33.18</v>
      </c>
      <c r="G622" s="4" t="str">
        <f>HYPERLINK("https://www.ncbi.nlm.nih.gov/nucleotide/XM_032045412.1?report=genbank&amp;log$=nucltop&amp;blast_rank=35&amp;RID=GYTNFFT7016","XM_032045412.1")</f>
        <v>XM_032045412.1</v>
      </c>
    </row>
    <row r="623" spans="1:7" x14ac:dyDescent="0.35">
      <c r="A623" t="s">
        <v>61</v>
      </c>
      <c r="B623">
        <v>176</v>
      </c>
      <c r="C623">
        <v>176</v>
      </c>
      <c r="D623" s="2">
        <v>0.7</v>
      </c>
      <c r="E623" s="3">
        <v>3.0000000000000002E-44</v>
      </c>
      <c r="F623">
        <v>33.17</v>
      </c>
      <c r="G623" t="str">
        <f>HYPERLINK("https://www.ncbi.nlm.nih.gov/nucleotide/XM_024831712.1?report=genbank&amp;log$=nucltop&amp;blast_rank=36&amp;RID=GYTNFFT7016","XM_024831712.1")</f>
        <v>XM_024831712.1</v>
      </c>
    </row>
    <row r="624" spans="1:7" x14ac:dyDescent="0.35">
      <c r="A624" t="s">
        <v>48</v>
      </c>
      <c r="B624">
        <v>177</v>
      </c>
      <c r="C624">
        <v>177</v>
      </c>
      <c r="D624" s="2">
        <v>0.7</v>
      </c>
      <c r="E624" s="3">
        <v>1.0000000000000001E-43</v>
      </c>
      <c r="F624">
        <v>33.1</v>
      </c>
      <c r="G624" t="str">
        <f>HYPERLINK("https://www.ncbi.nlm.nih.gov/nucleotide/XM_009499650.1?report=genbank&amp;log$=nucltop&amp;blast_rank=37&amp;RID=GYTNFFT7016","XM_009499650.1")</f>
        <v>XM_009499650.1</v>
      </c>
    </row>
    <row r="625" spans="1:7" x14ac:dyDescent="0.35">
      <c r="A625" t="s">
        <v>23</v>
      </c>
      <c r="B625">
        <v>226</v>
      </c>
      <c r="C625">
        <v>226</v>
      </c>
      <c r="D625" s="2">
        <v>0.73</v>
      </c>
      <c r="E625" s="3">
        <v>7.0000000000000006E-61</v>
      </c>
      <c r="F625">
        <v>32.83</v>
      </c>
      <c r="G625" t="str">
        <f>HYPERLINK("https://www.ncbi.nlm.nih.gov/nucleotide/XM_007300021.1?report=genbank&amp;log$=nucltop&amp;blast_rank=38&amp;RID=GYTNFFT7016","XM_007300021.1")</f>
        <v>XM_007300021.1</v>
      </c>
    </row>
    <row r="626" spans="1:7" x14ac:dyDescent="0.35">
      <c r="A626" s="4" t="s">
        <v>65</v>
      </c>
      <c r="B626" s="4">
        <v>192</v>
      </c>
      <c r="C626" s="4">
        <v>192</v>
      </c>
      <c r="D626" s="5">
        <v>0.72</v>
      </c>
      <c r="E626" s="6">
        <v>1.9999999999999999E-49</v>
      </c>
      <c r="F626" s="4">
        <v>32.47</v>
      </c>
      <c r="G626" s="4" t="str">
        <f>HYPERLINK("https://www.ncbi.nlm.nih.gov/nucleotide/XM_026774556.1?report=genbank&amp;log$=nucltop&amp;blast_rank=39&amp;RID=GYTNFFT7016","XM_026774556.1")</f>
        <v>XM_026774556.1</v>
      </c>
    </row>
    <row r="627" spans="1:7" x14ac:dyDescent="0.35">
      <c r="A627" t="s">
        <v>51</v>
      </c>
      <c r="B627">
        <v>191</v>
      </c>
      <c r="C627">
        <v>191</v>
      </c>
      <c r="D627" s="2">
        <v>0.74</v>
      </c>
      <c r="E627" s="3">
        <v>9.9999999999999994E-50</v>
      </c>
      <c r="F627">
        <v>32.44</v>
      </c>
      <c r="G627" t="str">
        <f>HYPERLINK("https://www.ncbi.nlm.nih.gov/nucleotide/XM_025528552.1?report=genbank&amp;log$=nucltop&amp;blast_rank=40&amp;RID=GYTNFFT7016","XM_025528552.1")</f>
        <v>XM_025528552.1</v>
      </c>
    </row>
    <row r="628" spans="1:7" x14ac:dyDescent="0.35">
      <c r="A628" t="s">
        <v>69</v>
      </c>
      <c r="B628">
        <v>193</v>
      </c>
      <c r="C628">
        <v>193</v>
      </c>
      <c r="D628" s="2">
        <v>0.72</v>
      </c>
      <c r="E628" s="3">
        <v>4E-50</v>
      </c>
      <c r="F628">
        <v>32.24</v>
      </c>
      <c r="G628" t="str">
        <f>HYPERLINK("https://www.ncbi.nlm.nih.gov/nucleotide/XM_001390712.2?report=genbank&amp;log$=nucltop&amp;blast_rank=41&amp;RID=GYTNFFT7016","XM_001390712.2")</f>
        <v>XM_001390712.2</v>
      </c>
    </row>
    <row r="629" spans="1:7" x14ac:dyDescent="0.35">
      <c r="A629" t="s">
        <v>44</v>
      </c>
      <c r="B629">
        <v>174</v>
      </c>
      <c r="C629">
        <v>174</v>
      </c>
      <c r="D629" s="2">
        <v>0.66</v>
      </c>
      <c r="E629" s="3">
        <v>1.9999999999999999E-44</v>
      </c>
      <c r="F629">
        <v>31.46</v>
      </c>
      <c r="G629" t="str">
        <f>HYPERLINK("https://www.ncbi.nlm.nih.gov/nucleotide/XM_033572072.1?report=genbank&amp;log$=nucltop&amp;blast_rank=42&amp;RID=GYTNFFT7016","XM_033572072.1")</f>
        <v>XM_033572072.1</v>
      </c>
    </row>
    <row r="630" spans="1:7" x14ac:dyDescent="0.35">
      <c r="A630" t="s">
        <v>773</v>
      </c>
      <c r="B630">
        <v>205</v>
      </c>
      <c r="C630">
        <v>205</v>
      </c>
      <c r="D630" s="2">
        <v>0.74</v>
      </c>
      <c r="E630" s="3">
        <v>1E-54</v>
      </c>
      <c r="F630">
        <v>31.45</v>
      </c>
      <c r="G630" t="str">
        <f>HYPERLINK("https://www.ncbi.nlm.nih.gov/nucleotide/XM_040828146.1?report=genbank&amp;log$=nucltop&amp;blast_rank=43&amp;RID=GYTNFFT7016","XM_040828146.1")</f>
        <v>XM_040828146.1</v>
      </c>
    </row>
    <row r="631" spans="1:7" x14ac:dyDescent="0.35">
      <c r="A631" t="s">
        <v>53</v>
      </c>
      <c r="B631">
        <v>194</v>
      </c>
      <c r="C631">
        <v>194</v>
      </c>
      <c r="D631" s="2">
        <v>0.74</v>
      </c>
      <c r="E631" s="3">
        <v>5.9999999999999998E-50</v>
      </c>
      <c r="F631">
        <v>31.14</v>
      </c>
      <c r="G631" t="str">
        <f>HYPERLINK("https://www.ncbi.nlm.nih.gov/nucleotide/XM_025704096.1?report=genbank&amp;log$=nucltop&amp;blast_rank=44&amp;RID=GYTNFFT7016","XM_025704096.1")</f>
        <v>XM_025704096.1</v>
      </c>
    </row>
    <row r="632" spans="1:7" x14ac:dyDescent="0.35">
      <c r="A632" t="s">
        <v>52</v>
      </c>
      <c r="B632">
        <v>139</v>
      </c>
      <c r="C632">
        <v>139</v>
      </c>
      <c r="D632" s="2">
        <v>0.59</v>
      </c>
      <c r="E632" s="3">
        <v>1.0000000000000001E-32</v>
      </c>
      <c r="F632">
        <v>30.99</v>
      </c>
      <c r="G632" t="str">
        <f>HYPERLINK("https://www.ncbi.nlm.nih.gov/nucleotide/XM_003857413.1?report=genbank&amp;log$=nucltop&amp;blast_rank=45&amp;RID=GYTNFFT7016","XM_003857413.1")</f>
        <v>XM_003857413.1</v>
      </c>
    </row>
    <row r="633" spans="1:7" x14ac:dyDescent="0.35">
      <c r="A633" t="s">
        <v>779</v>
      </c>
      <c r="B633">
        <v>153</v>
      </c>
      <c r="C633">
        <v>153</v>
      </c>
      <c r="D633" s="2">
        <v>0.64</v>
      </c>
      <c r="E633" s="3">
        <v>6.9999999999999999E-35</v>
      </c>
      <c r="F633">
        <v>30.61</v>
      </c>
      <c r="G633" t="str">
        <f>HYPERLINK("https://www.ncbi.nlm.nih.gov/nucleotide/CP051550.1?report=genbank&amp;log$=nucltop&amp;blast_rank=46&amp;RID=GYTNFFT7016","CP051550.1")</f>
        <v>CP051550.1</v>
      </c>
    </row>
    <row r="634" spans="1:7" x14ac:dyDescent="0.35">
      <c r="A634" t="s">
        <v>778</v>
      </c>
      <c r="B634">
        <v>153</v>
      </c>
      <c r="C634">
        <v>153</v>
      </c>
      <c r="D634" s="2">
        <v>0.64</v>
      </c>
      <c r="E634" s="3">
        <v>6.9999999999999999E-35</v>
      </c>
      <c r="F634">
        <v>30.61</v>
      </c>
      <c r="G634" t="str">
        <f>HYPERLINK("https://www.ncbi.nlm.nih.gov/nucleotide/CP051570.1?report=genbank&amp;log$=nucltop&amp;blast_rank=47&amp;RID=GYTNFFT7016","CP051570.1")</f>
        <v>CP051570.1</v>
      </c>
    </row>
    <row r="635" spans="1:7" x14ac:dyDescent="0.35">
      <c r="A635" t="s">
        <v>780</v>
      </c>
      <c r="B635">
        <v>153</v>
      </c>
      <c r="C635">
        <v>153</v>
      </c>
      <c r="D635" s="2">
        <v>0.64</v>
      </c>
      <c r="E635" s="3">
        <v>8.0000000000000001E-35</v>
      </c>
      <c r="F635">
        <v>30.61</v>
      </c>
      <c r="G635" t="str">
        <f>HYPERLINK("https://www.ncbi.nlm.nih.gov/nucleotide/CP051589.1?report=genbank&amp;log$=nucltop&amp;blast_rank=48&amp;RID=GYTNFFT7016","CP051589.1")</f>
        <v>CP051589.1</v>
      </c>
    </row>
    <row r="636" spans="1:7" x14ac:dyDescent="0.35">
      <c r="A636" t="s">
        <v>54</v>
      </c>
      <c r="B636">
        <v>152</v>
      </c>
      <c r="C636">
        <v>152</v>
      </c>
      <c r="D636" s="2">
        <v>0.64</v>
      </c>
      <c r="E636" s="3">
        <v>9.9999999999999993E-35</v>
      </c>
      <c r="F636">
        <v>30.61</v>
      </c>
      <c r="G636" t="str">
        <f>HYPERLINK("https://www.ncbi.nlm.nih.gov/nucleotide/LT853692.1?report=genbank&amp;log$=nucltop&amp;blast_rank=49&amp;RID=GYTNFFT7016","LT853692.1")</f>
        <v>LT853692.1</v>
      </c>
    </row>
    <row r="637" spans="1:7" x14ac:dyDescent="0.35">
      <c r="A637" t="s">
        <v>57</v>
      </c>
      <c r="B637">
        <v>151</v>
      </c>
      <c r="C637">
        <v>151</v>
      </c>
      <c r="D637" s="2">
        <v>0.64</v>
      </c>
      <c r="E637" s="3">
        <v>3E-34</v>
      </c>
      <c r="F637">
        <v>30.61</v>
      </c>
      <c r="G637" t="str">
        <f>HYPERLINK("https://www.ncbi.nlm.nih.gov/nucleotide/LT854253.1?report=genbank&amp;log$=nucltop&amp;blast_rank=50&amp;RID=GYTNFFT7016","LT854253.1")</f>
        <v>LT854253.1</v>
      </c>
    </row>
    <row r="638" spans="1:7" x14ac:dyDescent="0.35">
      <c r="A638" t="s">
        <v>784</v>
      </c>
      <c r="B638">
        <v>151</v>
      </c>
      <c r="C638">
        <v>151</v>
      </c>
      <c r="D638" s="2">
        <v>0.64</v>
      </c>
      <c r="E638" s="3">
        <v>3E-34</v>
      </c>
      <c r="F638">
        <v>30.61</v>
      </c>
      <c r="G638" t="str">
        <f>HYPERLINK("https://www.ncbi.nlm.nih.gov/nucleotide/CP062598.1?report=genbank&amp;log$=nucltop&amp;blast_rank=51&amp;RID=GYTNFFT7016","CP062598.1")</f>
        <v>CP062598.1</v>
      </c>
    </row>
    <row r="639" spans="1:7" x14ac:dyDescent="0.35">
      <c r="A639" t="s">
        <v>783</v>
      </c>
      <c r="B639">
        <v>151</v>
      </c>
      <c r="C639">
        <v>151</v>
      </c>
      <c r="D639" s="2">
        <v>0.64</v>
      </c>
      <c r="E639" s="3">
        <v>3E-34</v>
      </c>
      <c r="F639">
        <v>30.61</v>
      </c>
      <c r="G639" t="str">
        <f>HYPERLINK("https://www.ncbi.nlm.nih.gov/nucleotide/CP062541.1?report=genbank&amp;log$=nucltop&amp;blast_rank=52&amp;RID=GYTNFFT7016","CP062541.1")</f>
        <v>CP062541.1</v>
      </c>
    </row>
    <row r="640" spans="1:7" x14ac:dyDescent="0.35">
      <c r="A640" t="s">
        <v>782</v>
      </c>
      <c r="B640">
        <v>151</v>
      </c>
      <c r="C640">
        <v>151</v>
      </c>
      <c r="D640" s="2">
        <v>0.64</v>
      </c>
      <c r="E640" s="3">
        <v>3E-34</v>
      </c>
      <c r="F640">
        <v>30.61</v>
      </c>
      <c r="G640" t="str">
        <f>HYPERLINK("https://www.ncbi.nlm.nih.gov/nucleotide/CP062502.1?report=genbank&amp;log$=nucltop&amp;blast_rank=53&amp;RID=GYTNFFT7016","CP062502.1")</f>
        <v>CP062502.1</v>
      </c>
    </row>
    <row r="641" spans="1:7" x14ac:dyDescent="0.35">
      <c r="A641" t="s">
        <v>791</v>
      </c>
      <c r="B641">
        <v>151</v>
      </c>
      <c r="C641">
        <v>151</v>
      </c>
      <c r="D641" s="2">
        <v>0.64</v>
      </c>
      <c r="E641" s="3">
        <v>3E-34</v>
      </c>
      <c r="F641">
        <v>30.61</v>
      </c>
      <c r="G641" t="str">
        <f>HYPERLINK("https://www.ncbi.nlm.nih.gov/nucleotide/CP062560.1?report=genbank&amp;log$=nucltop&amp;blast_rank=54&amp;RID=GYTNFFT7016","CP062560.1")</f>
        <v>CP062560.1</v>
      </c>
    </row>
    <row r="642" spans="1:7" x14ac:dyDescent="0.35">
      <c r="A642" t="s">
        <v>790</v>
      </c>
      <c r="B642">
        <v>151</v>
      </c>
      <c r="C642">
        <v>151</v>
      </c>
      <c r="D642" s="2">
        <v>0.64</v>
      </c>
      <c r="E642" s="3">
        <v>3E-34</v>
      </c>
      <c r="F642">
        <v>30.61</v>
      </c>
      <c r="G642" t="str">
        <f>HYPERLINK("https://www.ncbi.nlm.nih.gov/nucleotide/CP062618.1?report=genbank&amp;log$=nucltop&amp;blast_rank=55&amp;RID=GYTNFFT7016","CP062618.1")</f>
        <v>CP062618.1</v>
      </c>
    </row>
    <row r="643" spans="1:7" x14ac:dyDescent="0.35">
      <c r="A643" t="s">
        <v>789</v>
      </c>
      <c r="B643">
        <v>151</v>
      </c>
      <c r="C643">
        <v>151</v>
      </c>
      <c r="D643" s="2">
        <v>0.64</v>
      </c>
      <c r="E643" s="3">
        <v>3E-34</v>
      </c>
      <c r="F643">
        <v>30.61</v>
      </c>
      <c r="G643" t="str">
        <f>HYPERLINK("https://www.ncbi.nlm.nih.gov/nucleotide/CP062658.1?report=genbank&amp;log$=nucltop&amp;blast_rank=56&amp;RID=GYTNFFT7016","CP062658.1")</f>
        <v>CP062658.1</v>
      </c>
    </row>
    <row r="644" spans="1:7" x14ac:dyDescent="0.35">
      <c r="A644" t="s">
        <v>59</v>
      </c>
      <c r="B644">
        <v>151</v>
      </c>
      <c r="C644">
        <v>151</v>
      </c>
      <c r="D644" s="2">
        <v>0.64</v>
      </c>
      <c r="E644" s="3">
        <v>3E-34</v>
      </c>
      <c r="F644">
        <v>30.61</v>
      </c>
      <c r="G644" t="str">
        <f>HYPERLINK("https://www.ncbi.nlm.nih.gov/nucleotide/LT882676.1?report=genbank&amp;log$=nucltop&amp;blast_rank=57&amp;RID=GYTNFFT7016","LT882676.1")</f>
        <v>LT882676.1</v>
      </c>
    </row>
    <row r="645" spans="1:7" x14ac:dyDescent="0.35">
      <c r="A645" t="s">
        <v>788</v>
      </c>
      <c r="B645">
        <v>151</v>
      </c>
      <c r="C645">
        <v>151</v>
      </c>
      <c r="D645" s="2">
        <v>0.64</v>
      </c>
      <c r="E645" s="3">
        <v>3E-34</v>
      </c>
      <c r="F645">
        <v>30.61</v>
      </c>
      <c r="G645" t="str">
        <f>HYPERLINK("https://www.ncbi.nlm.nih.gov/nucleotide/CP062638.1?report=genbank&amp;log$=nucltop&amp;blast_rank=58&amp;RID=GYTNFFT7016","CP062638.1")</f>
        <v>CP062638.1</v>
      </c>
    </row>
    <row r="646" spans="1:7" x14ac:dyDescent="0.35">
      <c r="A646" t="s">
        <v>787</v>
      </c>
      <c r="B646">
        <v>151</v>
      </c>
      <c r="C646">
        <v>151</v>
      </c>
      <c r="D646" s="2">
        <v>0.64</v>
      </c>
      <c r="E646" s="3">
        <v>3E-34</v>
      </c>
      <c r="F646">
        <v>30.61</v>
      </c>
      <c r="G646" t="str">
        <f>HYPERLINK("https://www.ncbi.nlm.nih.gov/nucleotide/CP062678.1?report=genbank&amp;log$=nucltop&amp;blast_rank=59&amp;RID=GYTNFFT7016","CP062678.1")</f>
        <v>CP062678.1</v>
      </c>
    </row>
    <row r="647" spans="1:7" x14ac:dyDescent="0.35">
      <c r="A647" t="s">
        <v>786</v>
      </c>
      <c r="B647">
        <v>151</v>
      </c>
      <c r="C647">
        <v>151</v>
      </c>
      <c r="D647" s="2">
        <v>0.64</v>
      </c>
      <c r="E647" s="3">
        <v>3E-34</v>
      </c>
      <c r="F647">
        <v>30.61</v>
      </c>
      <c r="G647" t="str">
        <f>HYPERLINK("https://www.ncbi.nlm.nih.gov/nucleotide/CP062579.1?report=genbank&amp;log$=nucltop&amp;blast_rank=60&amp;RID=GYTNFFT7016","CP062579.1")</f>
        <v>CP062579.1</v>
      </c>
    </row>
    <row r="648" spans="1:7" x14ac:dyDescent="0.35">
      <c r="A648" t="s">
        <v>785</v>
      </c>
      <c r="B648">
        <v>151</v>
      </c>
      <c r="C648">
        <v>151</v>
      </c>
      <c r="D648" s="2">
        <v>0.64</v>
      </c>
      <c r="E648" s="3">
        <v>3E-34</v>
      </c>
      <c r="F648">
        <v>30.61</v>
      </c>
      <c r="G648" t="str">
        <f>HYPERLINK("https://www.ncbi.nlm.nih.gov/nucleotide/CP062521.1?report=genbank&amp;log$=nucltop&amp;blast_rank=61&amp;RID=GYTNFFT7016","CP062521.1")</f>
        <v>CP062521.1</v>
      </c>
    </row>
    <row r="649" spans="1:7" x14ac:dyDescent="0.35">
      <c r="A649" t="s">
        <v>58</v>
      </c>
      <c r="B649">
        <v>151</v>
      </c>
      <c r="C649">
        <v>151</v>
      </c>
      <c r="D649" s="2">
        <v>0.64</v>
      </c>
      <c r="E649" s="3">
        <v>3E-34</v>
      </c>
      <c r="F649">
        <v>30.61</v>
      </c>
      <c r="G649" t="str">
        <f>HYPERLINK("https://www.ncbi.nlm.nih.gov/nucleotide/LT854273.1?report=genbank&amp;log$=nucltop&amp;blast_rank=62&amp;RID=GYTNFFT7016","LT854273.1")</f>
        <v>LT854273.1</v>
      </c>
    </row>
    <row r="650" spans="1:7" x14ac:dyDescent="0.35">
      <c r="A650" t="s">
        <v>798</v>
      </c>
      <c r="B650">
        <v>190</v>
      </c>
      <c r="C650">
        <v>190</v>
      </c>
      <c r="D650" s="2">
        <v>0.72</v>
      </c>
      <c r="E650" s="3">
        <v>3E-49</v>
      </c>
      <c r="F650">
        <v>30.59</v>
      </c>
      <c r="G650" t="str">
        <f>HYPERLINK("https://www.ncbi.nlm.nih.gov/nucleotide/XM_041682448.1?report=genbank&amp;log$=nucltop&amp;blast_rank=63&amp;RID=GYTNFFT7016","XM_041682448.1")</f>
        <v>XM_041682448.1</v>
      </c>
    </row>
    <row r="651" spans="1:7" x14ac:dyDescent="0.35">
      <c r="A651" t="s">
        <v>43</v>
      </c>
      <c r="B651">
        <v>181</v>
      </c>
      <c r="C651">
        <v>181</v>
      </c>
      <c r="D651" s="2">
        <v>0.71</v>
      </c>
      <c r="E651" s="3">
        <v>4.0000000000000001E-46</v>
      </c>
      <c r="F651">
        <v>30.55</v>
      </c>
      <c r="G651" t="str">
        <f>HYPERLINK("https://www.ncbi.nlm.nih.gov/nucleotide/XM_022549209.1?report=genbank&amp;log$=nucltop&amp;blast_rank=64&amp;RID=GYTNFFT7016","XM_022549209.1")</f>
        <v>XM_022549209.1</v>
      </c>
    </row>
    <row r="652" spans="1:7" x14ac:dyDescent="0.35">
      <c r="A652" t="s">
        <v>796</v>
      </c>
      <c r="B652">
        <v>178</v>
      </c>
      <c r="C652">
        <v>178</v>
      </c>
      <c r="D652" s="2">
        <v>0.71</v>
      </c>
      <c r="E652" s="3">
        <v>8.9999999999999997E-45</v>
      </c>
      <c r="F652">
        <v>30</v>
      </c>
      <c r="G652" t="str">
        <f>HYPERLINK("https://www.ncbi.nlm.nih.gov/nucleotide/XM_040786154.1?report=genbank&amp;log$=nucltop&amp;blast_rank=65&amp;RID=GYTNFFT7016","XM_040786154.1")</f>
        <v>XM_040786154.1</v>
      </c>
    </row>
    <row r="653" spans="1:7" x14ac:dyDescent="0.35">
      <c r="A653" t="s">
        <v>101</v>
      </c>
      <c r="B653">
        <v>154</v>
      </c>
      <c r="C653">
        <v>154</v>
      </c>
      <c r="D653" s="2">
        <v>0.7</v>
      </c>
      <c r="E653" s="3">
        <v>4.0000000000000003E-37</v>
      </c>
      <c r="F653">
        <v>29.88</v>
      </c>
      <c r="G653" t="str">
        <f>HYPERLINK("https://www.ncbi.nlm.nih.gov/nucleotide/XM_023596533.1?report=genbank&amp;log$=nucltop&amp;blast_rank=66&amp;RID=GYTNFFT7016","XM_023596533.1")</f>
        <v>XM_023596533.1</v>
      </c>
    </row>
    <row r="654" spans="1:7" x14ac:dyDescent="0.35">
      <c r="A654" t="s">
        <v>794</v>
      </c>
      <c r="B654">
        <v>182</v>
      </c>
      <c r="C654">
        <v>182</v>
      </c>
      <c r="D654" s="2">
        <v>0.72</v>
      </c>
      <c r="E654" s="3">
        <v>9.9999999999999995E-45</v>
      </c>
      <c r="F654">
        <v>29.86</v>
      </c>
      <c r="G654" t="str">
        <f>HYPERLINK("https://www.ncbi.nlm.nih.gov/nucleotide/AP024419.1?report=genbank&amp;log$=nucltop&amp;blast_rank=67&amp;RID=GYTNFFT7016","AP024419.1")</f>
        <v>AP024419.1</v>
      </c>
    </row>
    <row r="655" spans="1:7" x14ac:dyDescent="0.35">
      <c r="A655" t="s">
        <v>76</v>
      </c>
      <c r="B655">
        <v>174</v>
      </c>
      <c r="C655">
        <v>174</v>
      </c>
      <c r="D655" s="2">
        <v>0.69</v>
      </c>
      <c r="E655" s="3">
        <v>4.0000000000000003E-43</v>
      </c>
      <c r="F655">
        <v>29.85</v>
      </c>
      <c r="G655" t="str">
        <f>HYPERLINK("https://www.ncbi.nlm.nih.gov/nucleotide/XM_026762387.1?report=genbank&amp;log$=nucltop&amp;blast_rank=68&amp;RID=GYTNFFT7016","XM_026762387.1")</f>
        <v>XM_026762387.1</v>
      </c>
    </row>
    <row r="656" spans="1:7" x14ac:dyDescent="0.35">
      <c r="A656" t="s">
        <v>85</v>
      </c>
      <c r="B656">
        <v>186</v>
      </c>
      <c r="C656">
        <v>186</v>
      </c>
      <c r="D656" s="2">
        <v>0.72</v>
      </c>
      <c r="E656" s="3">
        <v>7.9999999999999998E-48</v>
      </c>
      <c r="F656">
        <v>29.79</v>
      </c>
      <c r="G656" t="str">
        <f>HYPERLINK("https://www.ncbi.nlm.nih.gov/nucleotide/XM_002559523.1?report=genbank&amp;log$=nucltop&amp;blast_rank=69&amp;RID=GYTNFFT7016","XM_002559523.1")</f>
        <v>XM_002559523.1</v>
      </c>
    </row>
    <row r="657" spans="1:7" x14ac:dyDescent="0.35">
      <c r="A657" t="s">
        <v>795</v>
      </c>
      <c r="B657">
        <v>174</v>
      </c>
      <c r="C657">
        <v>174</v>
      </c>
      <c r="D657" s="2">
        <v>0.72</v>
      </c>
      <c r="E657" s="3">
        <v>6.0000000000000005E-42</v>
      </c>
      <c r="F657">
        <v>29.79</v>
      </c>
      <c r="G657" t="str">
        <f>HYPERLINK("https://www.ncbi.nlm.nih.gov/nucleotide/AP024418.1?report=genbank&amp;log$=nucltop&amp;blast_rank=70&amp;RID=GYTNFFT7016","AP024418.1")</f>
        <v>AP024418.1</v>
      </c>
    </row>
    <row r="658" spans="1:7" x14ac:dyDescent="0.35">
      <c r="A658" t="s">
        <v>792</v>
      </c>
      <c r="B658">
        <v>177</v>
      </c>
      <c r="C658">
        <v>177</v>
      </c>
      <c r="D658" s="2">
        <v>0.72</v>
      </c>
      <c r="E658" s="3">
        <v>3E-43</v>
      </c>
      <c r="F658">
        <v>29.72</v>
      </c>
      <c r="G658" t="str">
        <f>HYPERLINK("https://www.ncbi.nlm.nih.gov/nucleotide/XM_041285679.1?report=genbank&amp;log$=nucltop&amp;blast_rank=71&amp;RID=GYTNFFT7016","XM_041285679.1")</f>
        <v>XM_041285679.1</v>
      </c>
    </row>
    <row r="659" spans="1:7" x14ac:dyDescent="0.35">
      <c r="A659" t="s">
        <v>42</v>
      </c>
      <c r="B659">
        <v>165</v>
      </c>
      <c r="C659">
        <v>165</v>
      </c>
      <c r="D659" s="2">
        <v>0.72</v>
      </c>
      <c r="E659" s="3">
        <v>3.9999999999999997E-40</v>
      </c>
      <c r="F659">
        <v>29.65</v>
      </c>
      <c r="G659" t="str">
        <f>HYPERLINK("https://www.ncbi.nlm.nih.gov/nucleotide/XM_015554209.1?report=genbank&amp;log$=nucltop&amp;blast_rank=72&amp;RID=GYTNFFT7016","XM_015554209.1")</f>
        <v>XM_015554209.1</v>
      </c>
    </row>
    <row r="660" spans="1:7" x14ac:dyDescent="0.35">
      <c r="A660" t="s">
        <v>45</v>
      </c>
      <c r="B660">
        <v>188</v>
      </c>
      <c r="C660">
        <v>188</v>
      </c>
      <c r="D660" s="2">
        <v>0.75</v>
      </c>
      <c r="E660" s="3">
        <v>9.9999999999999997E-49</v>
      </c>
      <c r="F660">
        <v>29.55</v>
      </c>
      <c r="G660" t="str">
        <f>HYPERLINK("https://www.ncbi.nlm.nih.gov/nucleotide/XM_007926421.1?report=genbank&amp;log$=nucltop&amp;blast_rank=73&amp;RID=GYTNFFT7016","XM_007926421.1")</f>
        <v>XM_007926421.1</v>
      </c>
    </row>
    <row r="661" spans="1:7" x14ac:dyDescent="0.35">
      <c r="A661" t="s">
        <v>80</v>
      </c>
      <c r="B661">
        <v>179</v>
      </c>
      <c r="C661">
        <v>179</v>
      </c>
      <c r="D661" s="2">
        <v>0.72</v>
      </c>
      <c r="E661" s="3">
        <v>9.9999999999999995E-45</v>
      </c>
      <c r="F661">
        <v>29.5</v>
      </c>
      <c r="G661" t="str">
        <f>HYPERLINK("https://www.ncbi.nlm.nih.gov/nucleotide/XM_025662501.1?report=genbank&amp;log$=nucltop&amp;blast_rank=74&amp;RID=GYTNFFT7016","XM_025662501.1")</f>
        <v>XM_025662501.1</v>
      </c>
    </row>
    <row r="662" spans="1:7" x14ac:dyDescent="0.35">
      <c r="A662" t="s">
        <v>793</v>
      </c>
      <c r="B662">
        <v>166</v>
      </c>
      <c r="C662">
        <v>166</v>
      </c>
      <c r="D662" s="2">
        <v>0.72</v>
      </c>
      <c r="E662" s="3">
        <v>3.0000000000000002E-40</v>
      </c>
      <c r="F662">
        <v>29.41</v>
      </c>
      <c r="G662" t="str">
        <f>HYPERLINK("https://www.ncbi.nlm.nih.gov/nucleotide/XM_032089869.1?report=genbank&amp;log$=nucltop&amp;blast_rank=75&amp;RID=GYTNFFT7016","XM_032089869.1")</f>
        <v>XM_032089869.1</v>
      </c>
    </row>
    <row r="663" spans="1:7" x14ac:dyDescent="0.35">
      <c r="A663" t="s">
        <v>49</v>
      </c>
      <c r="B663">
        <v>152</v>
      </c>
      <c r="C663">
        <v>152</v>
      </c>
      <c r="D663" s="2">
        <v>0.75</v>
      </c>
      <c r="E663" s="3">
        <v>1E-35</v>
      </c>
      <c r="F663">
        <v>29.32</v>
      </c>
      <c r="G663" t="str">
        <f>HYPERLINK("https://www.ncbi.nlm.nih.gov/nucleotide/XM_001217916.1?report=genbank&amp;log$=nucltop&amp;blast_rank=76&amp;RID=GYTNFFT7016","XM_001217916.1")</f>
        <v>XM_001217916.1</v>
      </c>
    </row>
    <row r="664" spans="1:7" x14ac:dyDescent="0.35">
      <c r="A664" s="4" t="s">
        <v>60</v>
      </c>
      <c r="B664" s="4">
        <v>176</v>
      </c>
      <c r="C664" s="4">
        <v>176</v>
      </c>
      <c r="D664" s="5">
        <v>0.72</v>
      </c>
      <c r="E664" s="6">
        <v>1.0000000000000001E-43</v>
      </c>
      <c r="F664" s="4">
        <v>29.28</v>
      </c>
      <c r="G664" s="4" t="str">
        <f>HYPERLINK("https://www.ncbi.nlm.nih.gov/nucleotide/XM_035498527.1?report=genbank&amp;log$=nucltop&amp;blast_rank=77&amp;RID=GYTNFFT7016","XM_035498527.1")</f>
        <v>XM_035498527.1</v>
      </c>
    </row>
    <row r="665" spans="1:7" x14ac:dyDescent="0.35">
      <c r="A665" t="s">
        <v>781</v>
      </c>
      <c r="B665">
        <v>180</v>
      </c>
      <c r="C665">
        <v>180</v>
      </c>
      <c r="D665" s="2">
        <v>0.76</v>
      </c>
      <c r="E665" s="3">
        <v>9.9999999999999998E-46</v>
      </c>
      <c r="F665">
        <v>29.27</v>
      </c>
      <c r="G665" t="str">
        <f>HYPERLINK("https://www.ncbi.nlm.nih.gov/nucleotide/XM_040786233.1?report=genbank&amp;log$=nucltop&amp;blast_rank=78&amp;RID=GYTNFFT7016","XM_040786233.1")</f>
        <v>XM_040786233.1</v>
      </c>
    </row>
    <row r="666" spans="1:7" x14ac:dyDescent="0.35">
      <c r="A666" t="s">
        <v>68</v>
      </c>
      <c r="B666">
        <v>151</v>
      </c>
      <c r="C666">
        <v>151</v>
      </c>
      <c r="D666" s="2">
        <v>0.63</v>
      </c>
      <c r="E666" s="3">
        <v>1.9999999999999999E-36</v>
      </c>
      <c r="F666">
        <v>29.24</v>
      </c>
      <c r="G666" t="str">
        <f>HYPERLINK("https://www.ncbi.nlm.nih.gov/nucleotide/XM_001262908.1?report=genbank&amp;log$=nucltop&amp;blast_rank=79&amp;RID=GYTNFFT7016","XM_001262908.1")</f>
        <v>XM_001262908.1</v>
      </c>
    </row>
    <row r="667" spans="1:7" x14ac:dyDescent="0.35">
      <c r="A667" s="4" t="s">
        <v>66</v>
      </c>
      <c r="B667" s="4">
        <v>162</v>
      </c>
      <c r="C667" s="4">
        <v>162</v>
      </c>
      <c r="D667" s="5">
        <v>0.72</v>
      </c>
      <c r="E667" s="6">
        <v>1.9999999999999999E-39</v>
      </c>
      <c r="F667" s="4">
        <v>29.07</v>
      </c>
      <c r="G667" s="4" t="str">
        <f>HYPERLINK("https://www.ncbi.nlm.nih.gov/nucleotide/XM_035498118.1?report=genbank&amp;log$=nucltop&amp;blast_rank=80&amp;RID=GYTNFFT7016","XM_035498118.1")</f>
        <v>XM_035498118.1</v>
      </c>
    </row>
    <row r="668" spans="1:7" x14ac:dyDescent="0.35">
      <c r="A668" t="s">
        <v>69</v>
      </c>
      <c r="B668">
        <v>152</v>
      </c>
      <c r="C668">
        <v>152</v>
      </c>
      <c r="D668" s="2">
        <v>0.72</v>
      </c>
      <c r="E668" s="3">
        <v>6.9999999999999999E-36</v>
      </c>
      <c r="F668">
        <v>29.07</v>
      </c>
      <c r="G668" t="str">
        <f>HYPERLINK("https://www.ncbi.nlm.nih.gov/nucleotide/XM_001401884.2?report=genbank&amp;log$=nucltop&amp;blast_rank=81&amp;RID=GYTNFFT7016","XM_001401884.2")</f>
        <v>XM_001401884.2</v>
      </c>
    </row>
    <row r="669" spans="1:7" x14ac:dyDescent="0.35">
      <c r="A669" t="s">
        <v>797</v>
      </c>
      <c r="B669">
        <v>152</v>
      </c>
      <c r="C669">
        <v>152</v>
      </c>
      <c r="D669" s="2">
        <v>0.72</v>
      </c>
      <c r="E669" s="3">
        <v>2E-35</v>
      </c>
      <c r="F669">
        <v>29.07</v>
      </c>
      <c r="G669" t="str">
        <f>HYPERLINK("https://www.ncbi.nlm.nih.gov/nucleotide/XM_025601684.1?report=genbank&amp;log$=nucltop&amp;blast_rank=82&amp;RID=GYTNFFT7016","XM_025601684.1")</f>
        <v>XM_025601684.1</v>
      </c>
    </row>
    <row r="670" spans="1:7" x14ac:dyDescent="0.35">
      <c r="A670" t="s">
        <v>56</v>
      </c>
      <c r="B670">
        <v>185</v>
      </c>
      <c r="C670">
        <v>185</v>
      </c>
      <c r="D670" s="2">
        <v>0.8</v>
      </c>
      <c r="E670" s="3">
        <v>3.9999999999999999E-48</v>
      </c>
      <c r="F670">
        <v>28.6</v>
      </c>
      <c r="G670" t="str">
        <f>HYPERLINK("https://www.ncbi.nlm.nih.gov/nucleotide/XM_024844676.1?report=genbank&amp;log$=nucltop&amp;blast_rank=83&amp;RID=GYTNFFT7016","XM_024844676.1")</f>
        <v>XM_024844676.1</v>
      </c>
    </row>
    <row r="671" spans="1:7" x14ac:dyDescent="0.35">
      <c r="A671" s="4" t="s">
        <v>50</v>
      </c>
      <c r="B671" s="4">
        <v>176</v>
      </c>
      <c r="C671" s="4">
        <v>176</v>
      </c>
      <c r="D671" s="5">
        <v>0.74</v>
      </c>
      <c r="E671" s="6">
        <v>3.0000000000000002E-44</v>
      </c>
      <c r="F671" s="4">
        <v>28.57</v>
      </c>
      <c r="G671" s="4" t="str">
        <f>HYPERLINK("https://www.ncbi.nlm.nih.gov/nucleotide/XM_032058508.1?report=genbank&amp;log$=nucltop&amp;blast_rank=84&amp;RID=GYTNFFT7016","XM_032058508.1")</f>
        <v>XM_032058508.1</v>
      </c>
    </row>
    <row r="672" spans="1:7" x14ac:dyDescent="0.35">
      <c r="A672" t="s">
        <v>79</v>
      </c>
      <c r="B672">
        <v>169</v>
      </c>
      <c r="C672">
        <v>169</v>
      </c>
      <c r="D672" s="2">
        <v>0.66</v>
      </c>
      <c r="E672" s="3">
        <v>1E-41</v>
      </c>
      <c r="F672">
        <v>28.54</v>
      </c>
      <c r="G672" t="str">
        <f>HYPERLINK("https://www.ncbi.nlm.nih.gov/nucleotide/XM_033553550.1?report=genbank&amp;log$=nucltop&amp;blast_rank=85&amp;RID=GYTNFFT7016","XM_033553550.1")</f>
        <v>XM_033553550.1</v>
      </c>
    </row>
    <row r="673" spans="1:7" x14ac:dyDescent="0.35">
      <c r="A673" t="s">
        <v>40</v>
      </c>
      <c r="B673">
        <v>170</v>
      </c>
      <c r="C673">
        <v>170</v>
      </c>
      <c r="D673" s="2">
        <v>0.74</v>
      </c>
      <c r="E673" s="3">
        <v>6.0000000000000005E-42</v>
      </c>
      <c r="F673">
        <v>28.51</v>
      </c>
      <c r="G673" t="str">
        <f>HYPERLINK("https://www.ncbi.nlm.nih.gov/nucleotide/XM_022531473.1?report=genbank&amp;log$=nucltop&amp;blast_rank=86&amp;RID=GYTNFFT7016","XM_022531473.1")</f>
        <v>XM_022531473.1</v>
      </c>
    </row>
    <row r="674" spans="1:7" x14ac:dyDescent="0.35">
      <c r="A674" t="s">
        <v>743</v>
      </c>
      <c r="B674">
        <v>134</v>
      </c>
      <c r="C674">
        <v>163</v>
      </c>
      <c r="D674" s="2">
        <v>0.7</v>
      </c>
      <c r="E674" s="3">
        <v>9.9999999999999994E-30</v>
      </c>
      <c r="F674">
        <v>28.4</v>
      </c>
      <c r="G674" t="str">
        <f>HYPERLINK("https://www.ncbi.nlm.nih.gov/nucleotide/CP066504.1?report=genbank&amp;log$=nucltop&amp;blast_rank=87&amp;RID=GYTNFFT7016","CP066504.1")</f>
        <v>CP066504.1</v>
      </c>
    </row>
    <row r="675" spans="1:7" x14ac:dyDescent="0.35">
      <c r="A675" t="s">
        <v>82</v>
      </c>
      <c r="B675">
        <v>140</v>
      </c>
      <c r="C675">
        <v>140</v>
      </c>
      <c r="D675" s="2">
        <v>0.64</v>
      </c>
      <c r="E675" s="3">
        <v>2.0000000000000001E-32</v>
      </c>
      <c r="F675">
        <v>28.39</v>
      </c>
      <c r="G675" t="str">
        <f>HYPERLINK("https://www.ncbi.nlm.nih.gov/nucleotide/XM_033601052.1?report=genbank&amp;log$=nucltop&amp;blast_rank=88&amp;RID=GYTNFFT7016","XM_033601052.1")</f>
        <v>XM_033601052.1</v>
      </c>
    </row>
    <row r="676" spans="1:7" x14ac:dyDescent="0.35">
      <c r="A676" t="s">
        <v>98</v>
      </c>
      <c r="B676">
        <v>137</v>
      </c>
      <c r="C676">
        <v>235</v>
      </c>
      <c r="D676" s="2">
        <v>0.72</v>
      </c>
      <c r="E676" s="3">
        <v>9.9999999999999994E-30</v>
      </c>
      <c r="F676">
        <v>28.36</v>
      </c>
      <c r="G676" t="str">
        <f>HYPERLINK("https://www.ncbi.nlm.nih.gov/nucleotide/XM_026749516.1?report=genbank&amp;log$=nucltop&amp;blast_rank=89&amp;RID=GYTNFFT7016","XM_026749516.1")</f>
        <v>XM_026749516.1</v>
      </c>
    </row>
    <row r="677" spans="1:7" x14ac:dyDescent="0.35">
      <c r="A677" t="s">
        <v>89</v>
      </c>
      <c r="B677">
        <v>152</v>
      </c>
      <c r="C677">
        <v>152</v>
      </c>
      <c r="D677" s="2">
        <v>0.69</v>
      </c>
      <c r="E677" s="3">
        <v>4.9999999999999996E-35</v>
      </c>
      <c r="F677">
        <v>28.29</v>
      </c>
      <c r="G677" t="str">
        <f>HYPERLINK("https://www.ncbi.nlm.nih.gov/nucleotide/XM_024828224.1?report=genbank&amp;log$=nucltop&amp;blast_rank=90&amp;RID=GYTNFFT7016","XM_024828224.1")</f>
        <v>XM_024828224.1</v>
      </c>
    </row>
    <row r="678" spans="1:7" x14ac:dyDescent="0.35">
      <c r="A678" t="s">
        <v>105</v>
      </c>
      <c r="B678">
        <v>150</v>
      </c>
      <c r="C678">
        <v>150</v>
      </c>
      <c r="D678" s="2">
        <v>0.74</v>
      </c>
      <c r="E678" s="3">
        <v>3E-34</v>
      </c>
      <c r="F678">
        <v>28.29</v>
      </c>
      <c r="G678" t="str">
        <f>HYPERLINK("https://www.ncbi.nlm.nih.gov/nucleotide/XM_033555780.1?report=genbank&amp;log$=nucltop&amp;blast_rank=91&amp;RID=GYTNFFT7016","XM_033555780.1")</f>
        <v>XM_033555780.1</v>
      </c>
    </row>
    <row r="679" spans="1:7" x14ac:dyDescent="0.35">
      <c r="A679" t="s">
        <v>491</v>
      </c>
      <c r="B679">
        <v>168</v>
      </c>
      <c r="C679">
        <v>168</v>
      </c>
      <c r="D679" s="2">
        <v>0.72</v>
      </c>
      <c r="E679" s="3">
        <v>2.9999999999999999E-41</v>
      </c>
      <c r="F679">
        <v>28.11</v>
      </c>
      <c r="G679" t="str">
        <f>HYPERLINK("https://www.ncbi.nlm.nih.gov/nucleotide/XM_039068458.1?report=genbank&amp;log$=nucltop&amp;blast_rank=92&amp;RID=GYTNFFT7016","XM_039068458.1")</f>
        <v>XM_039068458.1</v>
      </c>
    </row>
    <row r="680" spans="1:7" x14ac:dyDescent="0.35">
      <c r="A680" t="s">
        <v>97</v>
      </c>
      <c r="B680">
        <v>159</v>
      </c>
      <c r="C680">
        <v>159</v>
      </c>
      <c r="D680" s="2">
        <v>0.69</v>
      </c>
      <c r="E680" s="3">
        <v>7.0000000000000003E-38</v>
      </c>
      <c r="F680">
        <v>27.91</v>
      </c>
      <c r="G680" t="str">
        <f>HYPERLINK("https://www.ncbi.nlm.nih.gov/nucleotide/XM_035484606.1?report=genbank&amp;log$=nucltop&amp;blast_rank=93&amp;RID=GYTNFFT7016","XM_035484606.1")</f>
        <v>XM_035484606.1</v>
      </c>
    </row>
    <row r="681" spans="1:7" x14ac:dyDescent="0.35">
      <c r="A681" s="4" t="s">
        <v>55</v>
      </c>
      <c r="B681" s="4">
        <v>169</v>
      </c>
      <c r="C681" s="4">
        <v>169</v>
      </c>
      <c r="D681" s="5">
        <v>0.74</v>
      </c>
      <c r="E681" s="6">
        <v>2E-41</v>
      </c>
      <c r="F681" s="4">
        <v>27.87</v>
      </c>
      <c r="G681" s="4" t="str">
        <f>HYPERLINK("https://www.ncbi.nlm.nih.gov/nucleotide/XM_032074407.1?report=genbank&amp;log$=nucltop&amp;blast_rank=94&amp;RID=GYTNFFT7016","XM_032074407.1")</f>
        <v>XM_032074407.1</v>
      </c>
    </row>
    <row r="682" spans="1:7" x14ac:dyDescent="0.35">
      <c r="A682" t="s">
        <v>84</v>
      </c>
      <c r="B682">
        <v>160</v>
      </c>
      <c r="C682">
        <v>160</v>
      </c>
      <c r="D682" s="2">
        <v>0.72</v>
      </c>
      <c r="E682" s="3">
        <v>2.9999999999999999E-38</v>
      </c>
      <c r="F682">
        <v>27.84</v>
      </c>
      <c r="G682" t="str">
        <f>HYPERLINK("https://www.ncbi.nlm.nih.gov/nucleotide/XM_023599633.1?report=genbank&amp;log$=nucltop&amp;blast_rank=95&amp;RID=GYTNFFT7016","XM_023599633.1")</f>
        <v>XM_023599633.1</v>
      </c>
    </row>
    <row r="683" spans="1:7" x14ac:dyDescent="0.35">
      <c r="A683" t="s">
        <v>90</v>
      </c>
      <c r="B683">
        <v>168</v>
      </c>
      <c r="C683">
        <v>168</v>
      </c>
      <c r="D683" s="2">
        <v>0.72</v>
      </c>
      <c r="E683" s="3">
        <v>6.9999999999999999E-41</v>
      </c>
      <c r="F683">
        <v>27.84</v>
      </c>
      <c r="G683" t="str">
        <f>HYPERLINK("https://www.ncbi.nlm.nih.gov/nucleotide/XM_025683366.1?report=genbank&amp;log$=nucltop&amp;blast_rank=96&amp;RID=GYTNFFT7016","XM_025683366.1")</f>
        <v>XM_025683366.1</v>
      </c>
    </row>
    <row r="684" spans="1:7" x14ac:dyDescent="0.35">
      <c r="A684" t="s">
        <v>64</v>
      </c>
      <c r="B684">
        <v>136</v>
      </c>
      <c r="C684">
        <v>136</v>
      </c>
      <c r="D684" s="2">
        <v>0.75</v>
      </c>
      <c r="E684" s="3">
        <v>8.0000000000000007E-30</v>
      </c>
      <c r="F684">
        <v>26.64</v>
      </c>
      <c r="G684" t="str">
        <f>HYPERLINK("https://www.ncbi.nlm.nih.gov/nucleotide/XM_025524425.1?report=genbank&amp;log$=nucltop&amp;blast_rank=97&amp;RID=GYTNFFT7016","XM_025524425.1")</f>
        <v>XM_025524425.1</v>
      </c>
    </row>
    <row r="685" spans="1:7" x14ac:dyDescent="0.35">
      <c r="A685" t="s">
        <v>87</v>
      </c>
      <c r="B685">
        <v>142</v>
      </c>
      <c r="C685">
        <v>142</v>
      </c>
      <c r="D685" s="2">
        <v>0.69</v>
      </c>
      <c r="E685" s="3">
        <v>2.0000000000000002E-31</v>
      </c>
      <c r="F685">
        <v>26.21</v>
      </c>
      <c r="G685" t="str">
        <f>HYPERLINK("https://www.ncbi.nlm.nih.gov/nucleotide/XM_007819030.2?report=genbank&amp;log$=nucltop&amp;blast_rank=98&amp;RID=GYTNFFT7016","XM_007819030.2")</f>
        <v>XM_007819030.2</v>
      </c>
    </row>
    <row r="686" spans="1:7" x14ac:dyDescent="0.35">
      <c r="A686" t="s">
        <v>86</v>
      </c>
      <c r="B686">
        <v>133</v>
      </c>
      <c r="C686">
        <v>170</v>
      </c>
      <c r="D686" s="2">
        <v>0.7</v>
      </c>
      <c r="E686" s="3">
        <v>9.0000000000000001E-32</v>
      </c>
      <c r="F686">
        <v>25.78</v>
      </c>
      <c r="G686" t="str">
        <f>HYPERLINK("https://www.ncbi.nlm.nih.gov/nucleotide/AM920428.1?report=genbank&amp;log$=nucltop&amp;blast_rank=99&amp;RID=GYTNFFT7016","AM920428.1")</f>
        <v>AM920428.1</v>
      </c>
    </row>
    <row r="687" spans="1:7" x14ac:dyDescent="0.35">
      <c r="A687" t="s">
        <v>99</v>
      </c>
      <c r="B687">
        <v>138</v>
      </c>
      <c r="C687">
        <v>138</v>
      </c>
      <c r="D687" s="2">
        <v>0.69</v>
      </c>
      <c r="E687" s="3">
        <v>4.0000000000000003E-30</v>
      </c>
      <c r="F687">
        <v>25.6</v>
      </c>
      <c r="G687" t="str">
        <f>HYPERLINK("https://www.ncbi.nlm.nih.gov/nucleotide/XM_014687487.1?report=genbank&amp;log$=nucltop&amp;blast_rank=100&amp;RID=GYTNFFT7016","XM_014687487.1")</f>
        <v>XM_014687487.1</v>
      </c>
    </row>
    <row r="688" spans="1:7" x14ac:dyDescent="0.35">
      <c r="A688" s="1" t="s">
        <v>927</v>
      </c>
    </row>
    <row r="689" spans="1:7" x14ac:dyDescent="0.35">
      <c r="A689" s="1" t="s">
        <v>2</v>
      </c>
      <c r="B689" s="1" t="s">
        <v>3</v>
      </c>
      <c r="C689" s="1" t="s">
        <v>4</v>
      </c>
      <c r="D689" s="1" t="s">
        <v>5</v>
      </c>
      <c r="E689" s="1" t="s">
        <v>6</v>
      </c>
      <c r="F689" s="1" t="s">
        <v>7</v>
      </c>
      <c r="G689" s="1" t="s">
        <v>8</v>
      </c>
    </row>
    <row r="690" spans="1:7" x14ac:dyDescent="0.35">
      <c r="A690" t="s">
        <v>37</v>
      </c>
      <c r="B690">
        <v>212</v>
      </c>
      <c r="C690">
        <v>759</v>
      </c>
      <c r="D690" s="2">
        <v>0.56000000000000005</v>
      </c>
      <c r="E690" s="3">
        <v>9.9999999999999999E-56</v>
      </c>
      <c r="F690">
        <v>95.19</v>
      </c>
      <c r="G690" t="str">
        <f>HYPERLINK("https://www.ncbi.nlm.nih.gov/nucleotide/LR732085.1?report=genbank&amp;log$=nucltop&amp;blast_rank=1&amp;RID=GYRZXTBG013","LR732085.1")</f>
        <v>LR732085.1</v>
      </c>
    </row>
    <row r="691" spans="1:7" x14ac:dyDescent="0.35">
      <c r="A691" t="s">
        <v>388</v>
      </c>
      <c r="B691">
        <v>272</v>
      </c>
      <c r="C691">
        <v>272</v>
      </c>
      <c r="D691" s="2">
        <v>0.45</v>
      </c>
      <c r="E691" s="3">
        <v>6.0000000000000001E-80</v>
      </c>
      <c r="F691">
        <v>60.93</v>
      </c>
      <c r="G691" t="str">
        <f>HYPERLINK("https://www.ncbi.nlm.nih.gov/nucleotide/XM_003026031.1?report=genbank&amp;log$=nucltop&amp;blast_rank=2&amp;RID=GYRZXTBG013","XM_003026031.1")</f>
        <v>XM_003026031.1</v>
      </c>
    </row>
    <row r="692" spans="1:7" x14ac:dyDescent="0.35">
      <c r="A692" t="s">
        <v>381</v>
      </c>
      <c r="B692">
        <v>140</v>
      </c>
      <c r="C692">
        <v>285</v>
      </c>
      <c r="D692" s="2">
        <v>0.51</v>
      </c>
      <c r="E692" s="3">
        <v>2.9999999999999998E-31</v>
      </c>
      <c r="F692">
        <v>60.38</v>
      </c>
      <c r="G692" t="str">
        <f>HYPERLINK("https://www.ncbi.nlm.nih.gov/nucleotide/CP068008.1?report=genbank&amp;log$=nucltop&amp;blast_rank=3&amp;RID=GYRZXTBG013","CP068008.1")</f>
        <v>CP068008.1</v>
      </c>
    </row>
    <row r="693" spans="1:7" x14ac:dyDescent="0.35">
      <c r="A693" t="s">
        <v>380</v>
      </c>
      <c r="B693">
        <v>140</v>
      </c>
      <c r="C693">
        <v>236</v>
      </c>
      <c r="D693" s="2">
        <v>0.36</v>
      </c>
      <c r="E693" s="3">
        <v>5.0000000000000004E-31</v>
      </c>
      <c r="F693">
        <v>58.18</v>
      </c>
      <c r="G693" t="str">
        <f>HYPERLINK("https://www.ncbi.nlm.nih.gov/nucleotide/AC277528.1?report=genbank&amp;log$=nucltop&amp;blast_rank=4&amp;RID=GYRZXTBG013","AC277528.1")</f>
        <v>AC277528.1</v>
      </c>
    </row>
    <row r="694" spans="1:7" x14ac:dyDescent="0.35">
      <c r="A694" t="s">
        <v>391</v>
      </c>
      <c r="B694">
        <v>250</v>
      </c>
      <c r="C694">
        <v>250</v>
      </c>
      <c r="D694" s="2">
        <v>0.45</v>
      </c>
      <c r="E694" s="3">
        <v>2.9999999999999999E-75</v>
      </c>
      <c r="F694">
        <v>57.08</v>
      </c>
      <c r="G694" t="str">
        <f>HYPERLINK("https://www.ncbi.nlm.nih.gov/nucleotide/XM_024485421.1?report=genbank&amp;log$=nucltop&amp;blast_rank=5&amp;RID=GYRZXTBG013","XM_024485421.1")</f>
        <v>XM_024485421.1</v>
      </c>
    </row>
    <row r="695" spans="1:7" x14ac:dyDescent="0.35">
      <c r="A695" t="s">
        <v>397</v>
      </c>
      <c r="B695">
        <v>249</v>
      </c>
      <c r="C695">
        <v>249</v>
      </c>
      <c r="D695" s="2">
        <v>0.45</v>
      </c>
      <c r="E695" s="3">
        <v>1.9999999999999999E-74</v>
      </c>
      <c r="F695">
        <v>56.6</v>
      </c>
      <c r="G695" t="str">
        <f>HYPERLINK("https://www.ncbi.nlm.nih.gov/nucleotide/XM_007397903.1?report=genbank&amp;log$=nucltop&amp;blast_rank=6&amp;RID=GYRZXTBG013","XM_007397903.1")</f>
        <v>XM_007397903.1</v>
      </c>
    </row>
    <row r="696" spans="1:7" x14ac:dyDescent="0.35">
      <c r="A696" s="4" t="s">
        <v>390</v>
      </c>
      <c r="B696" s="4">
        <v>246</v>
      </c>
      <c r="C696" s="4">
        <v>246</v>
      </c>
      <c r="D696" s="5">
        <v>0.45</v>
      </c>
      <c r="E696" s="6">
        <v>2E-73</v>
      </c>
      <c r="F696" s="4">
        <v>56.34</v>
      </c>
      <c r="G696" s="4" t="str">
        <f>HYPERLINK("https://www.ncbi.nlm.nih.gov/nucleotide/LR725265.1?report=genbank&amp;log$=nucltop&amp;blast_rank=7&amp;RID=GYRZXTBG013","LR725265.1")</f>
        <v>LR725265.1</v>
      </c>
    </row>
    <row r="697" spans="1:7" x14ac:dyDescent="0.35">
      <c r="A697" t="s">
        <v>389</v>
      </c>
      <c r="B697">
        <v>251</v>
      </c>
      <c r="C697">
        <v>251</v>
      </c>
      <c r="D697" s="2">
        <v>0.45</v>
      </c>
      <c r="E697" s="3">
        <v>6.9999999999999995E-73</v>
      </c>
      <c r="F697">
        <v>56.13</v>
      </c>
      <c r="G697" t="str">
        <f>HYPERLINK("https://www.ncbi.nlm.nih.gov/nucleotide/XM_001835018.2?report=genbank&amp;log$=nucltop&amp;blast_rank=8&amp;RID=GYRZXTBG013","XM_001835018.2")</f>
        <v>XM_001835018.2</v>
      </c>
    </row>
    <row r="698" spans="1:7" x14ac:dyDescent="0.35">
      <c r="A698" s="4" t="s">
        <v>394</v>
      </c>
      <c r="B698" s="4">
        <v>251</v>
      </c>
      <c r="C698" s="4">
        <v>251</v>
      </c>
      <c r="D698" s="5">
        <v>0.45</v>
      </c>
      <c r="E698" s="6">
        <v>6.0000000000000003E-77</v>
      </c>
      <c r="F698" s="4">
        <v>55.81</v>
      </c>
      <c r="G698" s="4" t="str">
        <f>HYPERLINK("https://www.ncbi.nlm.nih.gov/nucleotide/XM_007872033.1?report=genbank&amp;log$=nucltop&amp;blast_rank=9&amp;RID=GYRZXTBG013","XM_007872033.1")</f>
        <v>XM_007872033.1</v>
      </c>
    </row>
    <row r="699" spans="1:7" x14ac:dyDescent="0.35">
      <c r="A699" s="4" t="s">
        <v>392</v>
      </c>
      <c r="B699" s="4">
        <v>243</v>
      </c>
      <c r="C699" s="4">
        <v>243</v>
      </c>
      <c r="D699" s="5">
        <v>0.45</v>
      </c>
      <c r="E699" s="6">
        <v>7.0000000000000003E-74</v>
      </c>
      <c r="F699" s="4">
        <v>54.93</v>
      </c>
      <c r="G699" s="4" t="str">
        <f>HYPERLINK("https://www.ncbi.nlm.nih.gov/nucleotide/XM_007363371.1?report=genbank&amp;log$=nucltop&amp;blast_rank=10&amp;RID=GYRZXTBG013","XM_007363371.1")</f>
        <v>XM_007363371.1</v>
      </c>
    </row>
    <row r="700" spans="1:7" x14ac:dyDescent="0.35">
      <c r="A700" s="4" t="s">
        <v>393</v>
      </c>
      <c r="B700" s="4">
        <v>249</v>
      </c>
      <c r="C700" s="4">
        <v>249</v>
      </c>
      <c r="D700" s="5">
        <v>0.45</v>
      </c>
      <c r="E700" s="6">
        <v>1E-73</v>
      </c>
      <c r="F700" s="4">
        <v>54.72</v>
      </c>
      <c r="G700" s="4" t="str">
        <f>HYPERLINK("https://www.ncbi.nlm.nih.gov/nucleotide/XM_001879532.1?report=genbank&amp;log$=nucltop&amp;blast_rank=11&amp;RID=GYRZXTBG013","XM_001879532.1")</f>
        <v>XM_001879532.1</v>
      </c>
    </row>
    <row r="701" spans="1:7" x14ac:dyDescent="0.35">
      <c r="A701" t="s">
        <v>403</v>
      </c>
      <c r="B701">
        <v>246</v>
      </c>
      <c r="C701">
        <v>305</v>
      </c>
      <c r="D701" s="2">
        <v>0.61</v>
      </c>
      <c r="E701" s="3">
        <v>9.0000000000000004E-73</v>
      </c>
      <c r="F701">
        <v>54.72</v>
      </c>
      <c r="G701" t="str">
        <f>HYPERLINK("https://www.ncbi.nlm.nih.gov/nucleotide/XM_037362770.1?report=genbank&amp;log$=nucltop&amp;blast_rank=12&amp;RID=GYRZXTBG013","XM_037362770.1")</f>
        <v>XM_037362770.1</v>
      </c>
    </row>
    <row r="702" spans="1:7" x14ac:dyDescent="0.35">
      <c r="A702" t="s">
        <v>21</v>
      </c>
      <c r="B702">
        <v>233</v>
      </c>
      <c r="C702">
        <v>233</v>
      </c>
      <c r="D702" s="2">
        <v>0.45</v>
      </c>
      <c r="E702" s="3">
        <v>9.9999999999999996E-70</v>
      </c>
      <c r="F702">
        <v>53.52</v>
      </c>
      <c r="G702" t="str">
        <f>HYPERLINK("https://www.ncbi.nlm.nih.gov/nucleotide/XM_009554316.1?report=genbank&amp;log$=nucltop&amp;blast_rank=13&amp;RID=GYRZXTBG013","XM_009554316.1")</f>
        <v>XM_009554316.1</v>
      </c>
    </row>
    <row r="703" spans="1:7" x14ac:dyDescent="0.35">
      <c r="A703" s="4" t="s">
        <v>395</v>
      </c>
      <c r="B703" s="4">
        <v>247</v>
      </c>
      <c r="C703" s="4">
        <v>247</v>
      </c>
      <c r="D703" s="5">
        <v>0.45</v>
      </c>
      <c r="E703" s="6">
        <v>2.9999999999999999E-75</v>
      </c>
      <c r="F703" s="4">
        <v>53.49</v>
      </c>
      <c r="G703" s="4" t="str">
        <f>HYPERLINK("https://www.ncbi.nlm.nih.gov/nucleotide/XM_008043200.1?report=genbank&amp;log$=nucltop&amp;blast_rank=14&amp;RID=GYRZXTBG013","XM_008043200.1")</f>
        <v>XM_008043200.1</v>
      </c>
    </row>
    <row r="704" spans="1:7" x14ac:dyDescent="0.35">
      <c r="A704" t="s">
        <v>894</v>
      </c>
      <c r="B704">
        <v>233</v>
      </c>
      <c r="C704">
        <v>233</v>
      </c>
      <c r="D704" s="2">
        <v>0.45</v>
      </c>
      <c r="E704" s="3">
        <v>2.0000000000000001E-68</v>
      </c>
      <c r="F704">
        <v>53.3</v>
      </c>
      <c r="G704" t="str">
        <f>HYPERLINK("https://www.ncbi.nlm.nih.gov/nucleotide/XM_041356303.1?report=genbank&amp;log$=nucltop&amp;blast_rank=15&amp;RID=GYRZXTBG013","XM_041356303.1")</f>
        <v>XM_041356303.1</v>
      </c>
    </row>
    <row r="705" spans="1:7" x14ac:dyDescent="0.35">
      <c r="A705" t="s">
        <v>895</v>
      </c>
      <c r="B705">
        <v>236</v>
      </c>
      <c r="C705">
        <v>236</v>
      </c>
      <c r="D705" s="2">
        <v>0.45</v>
      </c>
      <c r="E705" s="3">
        <v>8.0000000000000005E-68</v>
      </c>
      <c r="F705">
        <v>53.3</v>
      </c>
      <c r="G705" t="str">
        <f>HYPERLINK("https://www.ncbi.nlm.nih.gov/nucleotide/XM_041386384.1?report=genbank&amp;log$=nucltop&amp;blast_rank=16&amp;RID=GYRZXTBG013","XM_041386384.1")</f>
        <v>XM_041386384.1</v>
      </c>
    </row>
    <row r="706" spans="1:7" x14ac:dyDescent="0.35">
      <c r="A706" t="s">
        <v>896</v>
      </c>
      <c r="B706">
        <v>235</v>
      </c>
      <c r="C706">
        <v>235</v>
      </c>
      <c r="D706" s="2">
        <v>0.45</v>
      </c>
      <c r="E706" s="3">
        <v>3.0000000000000002E-66</v>
      </c>
      <c r="F706">
        <v>53.3</v>
      </c>
      <c r="G706" t="str">
        <f>HYPERLINK("https://www.ncbi.nlm.nih.gov/nucleotide/XM_041336076.1?report=genbank&amp;log$=nucltop&amp;blast_rank=17&amp;RID=GYRZXTBG013","XM_041336076.1")</f>
        <v>XM_041336076.1</v>
      </c>
    </row>
    <row r="707" spans="1:7" x14ac:dyDescent="0.35">
      <c r="A707" t="s">
        <v>897</v>
      </c>
      <c r="B707">
        <v>234</v>
      </c>
      <c r="C707">
        <v>234</v>
      </c>
      <c r="D707" s="2">
        <v>0.45</v>
      </c>
      <c r="E707" s="3">
        <v>3.9999999999999999E-64</v>
      </c>
      <c r="F707">
        <v>52.83</v>
      </c>
      <c r="G707" t="str">
        <f>HYPERLINK("https://www.ncbi.nlm.nih.gov/nucleotide/XM_041325997.1?report=genbank&amp;log$=nucltop&amp;blast_rank=18&amp;RID=GYRZXTBG013","XM_041325997.1")</f>
        <v>XM_041325997.1</v>
      </c>
    </row>
    <row r="708" spans="1:7" x14ac:dyDescent="0.35">
      <c r="A708" t="s">
        <v>398</v>
      </c>
      <c r="B708">
        <v>242</v>
      </c>
      <c r="C708">
        <v>300</v>
      </c>
      <c r="D708" s="2">
        <v>0.61</v>
      </c>
      <c r="E708" s="3">
        <v>3.0000000000000001E-70</v>
      </c>
      <c r="F708">
        <v>52.7</v>
      </c>
      <c r="G708" t="str">
        <f>HYPERLINK("https://www.ncbi.nlm.nih.gov/nucleotide/XM_007306844.1?report=genbank&amp;log$=nucltop&amp;blast_rank=19&amp;RID=GYRZXTBG013","XM_007306844.1")</f>
        <v>XM_007306844.1</v>
      </c>
    </row>
    <row r="709" spans="1:7" x14ac:dyDescent="0.35">
      <c r="A709" t="s">
        <v>396</v>
      </c>
      <c r="B709">
        <v>237</v>
      </c>
      <c r="C709">
        <v>237</v>
      </c>
      <c r="D709" s="2">
        <v>0.45</v>
      </c>
      <c r="E709" s="3">
        <v>8.0000000000000005E-68</v>
      </c>
      <c r="F709">
        <v>52.36</v>
      </c>
      <c r="G709" t="str">
        <f>HYPERLINK("https://www.ncbi.nlm.nih.gov/nucleotide/XM_027759476.1?report=genbank&amp;log$=nucltop&amp;blast_rank=20&amp;RID=GYRZXTBG013","XM_027759476.1")</f>
        <v>XM_027759476.1</v>
      </c>
    </row>
    <row r="710" spans="1:7" x14ac:dyDescent="0.35">
      <c r="A710" t="s">
        <v>898</v>
      </c>
      <c r="B710">
        <v>233</v>
      </c>
      <c r="C710">
        <v>233</v>
      </c>
      <c r="D710" s="2">
        <v>0.45</v>
      </c>
      <c r="E710" s="3">
        <v>3.9999999999999997E-65</v>
      </c>
      <c r="F710">
        <v>51.89</v>
      </c>
      <c r="G710" t="str">
        <f>HYPERLINK("https://www.ncbi.nlm.nih.gov/nucleotide/XM_041437255.1?report=genbank&amp;log$=nucltop&amp;blast_rank=21&amp;RID=GYRZXTBG013","XM_041437255.1")</f>
        <v>XM_041437255.1</v>
      </c>
    </row>
    <row r="711" spans="1:7" x14ac:dyDescent="0.35">
      <c r="A711" s="4" t="s">
        <v>399</v>
      </c>
      <c r="B711" s="4">
        <v>240</v>
      </c>
      <c r="C711" s="4">
        <v>240</v>
      </c>
      <c r="D711" s="5">
        <v>0.45</v>
      </c>
      <c r="E711" s="6">
        <v>1.9999999999999998E-71</v>
      </c>
      <c r="F711" s="4">
        <v>50.94</v>
      </c>
      <c r="G711" s="4" t="str">
        <f>HYPERLINK("https://www.ncbi.nlm.nih.gov/nucleotide/XM_007385455.1?report=genbank&amp;log$=nucltop&amp;blast_rank=22&amp;RID=GYRZXTBG013","XM_007385455.1")</f>
        <v>XM_007385455.1</v>
      </c>
    </row>
    <row r="712" spans="1:7" x14ac:dyDescent="0.35">
      <c r="A712" t="s">
        <v>899</v>
      </c>
      <c r="B712">
        <v>223</v>
      </c>
      <c r="C712">
        <v>223</v>
      </c>
      <c r="D712" s="2">
        <v>0.45</v>
      </c>
      <c r="E712" s="3">
        <v>1E-61</v>
      </c>
      <c r="F712">
        <v>50.94</v>
      </c>
      <c r="G712" t="str">
        <f>HYPERLINK("https://www.ncbi.nlm.nih.gov/nucleotide/XM_041303435.1?report=genbank&amp;log$=nucltop&amp;blast_rank=23&amp;RID=GYRZXTBG013","XM_041303435.1")</f>
        <v>XM_041303435.1</v>
      </c>
    </row>
    <row r="713" spans="1:7" x14ac:dyDescent="0.35">
      <c r="A713" t="s">
        <v>900</v>
      </c>
      <c r="B713">
        <v>229</v>
      </c>
      <c r="C713">
        <v>229</v>
      </c>
      <c r="D713" s="2">
        <v>0.45</v>
      </c>
      <c r="E713" s="3">
        <v>1.9999999999999998E-65</v>
      </c>
      <c r="F713">
        <v>50.22</v>
      </c>
      <c r="G713" t="str">
        <f>HYPERLINK("https://www.ncbi.nlm.nih.gov/nucleotide/XM_041316149.1?report=genbank&amp;log$=nucltop&amp;blast_rank=24&amp;RID=GYRZXTBG013","XM_041316149.1")</f>
        <v>XM_041316149.1</v>
      </c>
    </row>
    <row r="714" spans="1:7" x14ac:dyDescent="0.35">
      <c r="A714" t="s">
        <v>901</v>
      </c>
      <c r="B714">
        <v>236</v>
      </c>
      <c r="C714">
        <v>236</v>
      </c>
      <c r="D714" s="2">
        <v>0.45</v>
      </c>
      <c r="E714" s="3">
        <v>3.0000000000000002E-66</v>
      </c>
      <c r="F714">
        <v>50</v>
      </c>
      <c r="G714" t="str">
        <f>HYPERLINK("https://www.ncbi.nlm.nih.gov/nucleotide/XM_040911336.1?report=genbank&amp;log$=nucltop&amp;blast_rank=25&amp;RID=GYRZXTBG013","XM_040911336.1")</f>
        <v>XM_040911336.1</v>
      </c>
    </row>
    <row r="715" spans="1:7" x14ac:dyDescent="0.35">
      <c r="A715" t="s">
        <v>383</v>
      </c>
      <c r="B715">
        <v>150</v>
      </c>
      <c r="C715">
        <v>241</v>
      </c>
      <c r="D715" s="2">
        <v>0.37</v>
      </c>
      <c r="E715" s="3">
        <v>9.9999999999999993E-35</v>
      </c>
      <c r="F715">
        <v>49.64</v>
      </c>
      <c r="G715" t="str">
        <f>HYPERLINK("https://www.ncbi.nlm.nih.gov/nucleotide/CP015481.1?report=genbank&amp;log$=nucltop&amp;blast_rank=26&amp;RID=GYRZXTBG013","CP015481.1")</f>
        <v>CP015481.1</v>
      </c>
    </row>
    <row r="716" spans="1:7" x14ac:dyDescent="0.35">
      <c r="A716" t="s">
        <v>384</v>
      </c>
      <c r="B716">
        <v>149</v>
      </c>
      <c r="C716">
        <v>239</v>
      </c>
      <c r="D716" s="2">
        <v>0.37</v>
      </c>
      <c r="E716" s="3">
        <v>3.9999999999999997E-34</v>
      </c>
      <c r="F716">
        <v>49.64</v>
      </c>
      <c r="G716" t="str">
        <f>HYPERLINK("https://www.ncbi.nlm.nih.gov/nucleotide/AC253760.1?report=genbank&amp;log$=nucltop&amp;blast_rank=27&amp;RID=GYRZXTBG013","AC253760.1")</f>
        <v>AC253760.1</v>
      </c>
    </row>
    <row r="717" spans="1:7" x14ac:dyDescent="0.35">
      <c r="A717" t="s">
        <v>385</v>
      </c>
      <c r="B717">
        <v>149</v>
      </c>
      <c r="C717">
        <v>239</v>
      </c>
      <c r="D717" s="2">
        <v>0.37</v>
      </c>
      <c r="E717" s="3">
        <v>3.9999999999999997E-34</v>
      </c>
      <c r="F717">
        <v>49.64</v>
      </c>
      <c r="G717" t="str">
        <f>HYPERLINK("https://www.ncbi.nlm.nih.gov/nucleotide/CP015468.1?report=genbank&amp;log$=nucltop&amp;blast_rank=28&amp;RID=GYRZXTBG013","CP015468.1")</f>
        <v>CP015468.1</v>
      </c>
    </row>
    <row r="718" spans="1:7" x14ac:dyDescent="0.35">
      <c r="A718" t="s">
        <v>382</v>
      </c>
      <c r="B718">
        <v>149</v>
      </c>
      <c r="C718">
        <v>239</v>
      </c>
      <c r="D718" s="2">
        <v>0.37</v>
      </c>
      <c r="E718" s="3">
        <v>3.9999999999999997E-34</v>
      </c>
      <c r="F718">
        <v>49.64</v>
      </c>
      <c r="G718" t="str">
        <f>HYPERLINK("https://www.ncbi.nlm.nih.gov/nucleotide/CP039884.1?report=genbank&amp;log$=nucltop&amp;blast_rank=29&amp;RID=GYRZXTBG013","CP039884.1")</f>
        <v>CP039884.1</v>
      </c>
    </row>
    <row r="719" spans="1:7" x14ac:dyDescent="0.35">
      <c r="A719" t="s">
        <v>400</v>
      </c>
      <c r="B719">
        <v>216</v>
      </c>
      <c r="C719">
        <v>216</v>
      </c>
      <c r="D719" s="2">
        <v>0.45</v>
      </c>
      <c r="E719" s="3">
        <v>3.0000000000000001E-59</v>
      </c>
      <c r="F719">
        <v>49.3</v>
      </c>
      <c r="G719" t="str">
        <f>HYPERLINK("https://www.ncbi.nlm.nih.gov/nucleotide/XM_007262375.1?report=genbank&amp;log$=nucltop&amp;blast_rank=30&amp;RID=GYRZXTBG013","XM_007262375.1")</f>
        <v>XM_007262375.1</v>
      </c>
    </row>
    <row r="720" spans="1:7" x14ac:dyDescent="0.35">
      <c r="A720" t="s">
        <v>401</v>
      </c>
      <c r="B720">
        <v>228</v>
      </c>
      <c r="C720">
        <v>228</v>
      </c>
      <c r="D720" s="2">
        <v>0.45</v>
      </c>
      <c r="E720" s="3">
        <v>9.9999999999999997E-65</v>
      </c>
      <c r="F720">
        <v>49.07</v>
      </c>
      <c r="G720" t="str">
        <f>HYPERLINK("https://www.ncbi.nlm.nih.gov/nucleotide/XM_006455985.1?report=genbank&amp;log$=nucltop&amp;blast_rank=31&amp;RID=GYRZXTBG013","XM_006455985.1")</f>
        <v>XM_006455985.1</v>
      </c>
    </row>
    <row r="721" spans="1:7" x14ac:dyDescent="0.35">
      <c r="A721" t="s">
        <v>402</v>
      </c>
      <c r="B721">
        <v>228</v>
      </c>
      <c r="C721">
        <v>228</v>
      </c>
      <c r="D721" s="2">
        <v>0.45</v>
      </c>
      <c r="E721" s="3">
        <v>9.9999999999999997E-65</v>
      </c>
      <c r="F721">
        <v>49.07</v>
      </c>
      <c r="G721" t="str">
        <f>HYPERLINK("https://www.ncbi.nlm.nih.gov/nucleotide/XM_007331822.1?report=genbank&amp;log$=nucltop&amp;blast_rank=32&amp;RID=GYRZXTBG013","XM_007331822.1")</f>
        <v>XM_007331822.1</v>
      </c>
    </row>
    <row r="722" spans="1:7" x14ac:dyDescent="0.35">
      <c r="A722" t="s">
        <v>404</v>
      </c>
      <c r="B722">
        <v>206</v>
      </c>
      <c r="C722">
        <v>206</v>
      </c>
      <c r="D722" s="2">
        <v>0.43</v>
      </c>
      <c r="E722" s="3">
        <v>1E-56</v>
      </c>
      <c r="F722">
        <v>48.28</v>
      </c>
      <c r="G722" t="str">
        <f>HYPERLINK("https://www.ncbi.nlm.nih.gov/nucleotide/XM_036771658.1?report=genbank&amp;log$=nucltop&amp;blast_rank=33&amp;RID=GYRZXTBG013","XM_036771658.1")</f>
        <v>XM_036771658.1</v>
      </c>
    </row>
    <row r="723" spans="1:7" x14ac:dyDescent="0.35">
      <c r="A723" t="s">
        <v>902</v>
      </c>
      <c r="B723">
        <v>221</v>
      </c>
      <c r="C723">
        <v>221</v>
      </c>
      <c r="D723" s="2">
        <v>0.45</v>
      </c>
      <c r="E723" s="3">
        <v>2.0000000000000001E-61</v>
      </c>
      <c r="F723">
        <v>48.25</v>
      </c>
      <c r="G723" t="str">
        <f>HYPERLINK("https://www.ncbi.nlm.nih.gov/nucleotide/XM_041450211.1?report=genbank&amp;log$=nucltop&amp;blast_rank=34&amp;RID=GYRZXTBG013","XM_041450211.1")</f>
        <v>XM_041450211.1</v>
      </c>
    </row>
    <row r="724" spans="1:7" x14ac:dyDescent="0.35">
      <c r="A724" t="s">
        <v>126</v>
      </c>
      <c r="B724">
        <v>198</v>
      </c>
      <c r="C724">
        <v>198</v>
      </c>
      <c r="D724" s="2">
        <v>0.45</v>
      </c>
      <c r="E724" s="3">
        <v>8.9999999999999997E-53</v>
      </c>
      <c r="F724">
        <v>47.64</v>
      </c>
      <c r="G724" t="str">
        <f>HYPERLINK("https://www.ncbi.nlm.nih.gov/nucleotide/XM_007775763.1?report=genbank&amp;log$=nucltop&amp;blast_rank=35&amp;RID=GYRZXTBG013","XM_007775763.1")</f>
        <v>XM_007775763.1</v>
      </c>
    </row>
    <row r="725" spans="1:7" x14ac:dyDescent="0.35">
      <c r="A725" t="s">
        <v>428</v>
      </c>
      <c r="B725">
        <v>182</v>
      </c>
      <c r="C725">
        <v>182</v>
      </c>
      <c r="D725" s="2">
        <v>0.45</v>
      </c>
      <c r="E725" s="3">
        <v>5.9999999999999998E-48</v>
      </c>
      <c r="F725">
        <v>46.48</v>
      </c>
      <c r="G725" t="str">
        <f>HYPERLINK("https://www.ncbi.nlm.nih.gov/nucleotide/XM_011391860.1?report=genbank&amp;log$=nucltop&amp;blast_rank=36&amp;RID=GYRZXTBG013","XM_011391860.1")</f>
        <v>XM_011391860.1</v>
      </c>
    </row>
    <row r="726" spans="1:7" x14ac:dyDescent="0.35">
      <c r="A726" t="s">
        <v>903</v>
      </c>
      <c r="B726">
        <v>174</v>
      </c>
      <c r="C726">
        <v>174</v>
      </c>
      <c r="D726" s="2">
        <v>0.45</v>
      </c>
      <c r="E726" s="3">
        <v>3.0000000000000001E-45</v>
      </c>
      <c r="F726">
        <v>46.48</v>
      </c>
      <c r="G726" t="str">
        <f>HYPERLINK("https://www.ncbi.nlm.nih.gov/nucleotide/XM_041557415.1?report=genbank&amp;log$=nucltop&amp;blast_rank=37&amp;RID=GYRZXTBG013","XM_041557415.1")</f>
        <v>XM_041557415.1</v>
      </c>
    </row>
    <row r="727" spans="1:7" x14ac:dyDescent="0.35">
      <c r="A727" t="s">
        <v>413</v>
      </c>
      <c r="B727">
        <v>175</v>
      </c>
      <c r="C727">
        <v>175</v>
      </c>
      <c r="D727" s="2">
        <v>0.45</v>
      </c>
      <c r="E727" s="3">
        <v>8.0000000000000006E-43</v>
      </c>
      <c r="F727">
        <v>46.48</v>
      </c>
      <c r="G727" t="str">
        <f>HYPERLINK("https://www.ncbi.nlm.nih.gov/nucleotide/LT558130.1?report=genbank&amp;log$=nucltop&amp;blast_rank=38&amp;RID=GYRZXTBG013","LT558130.1")</f>
        <v>LT558130.1</v>
      </c>
    </row>
    <row r="728" spans="1:7" x14ac:dyDescent="0.35">
      <c r="A728" t="s">
        <v>421</v>
      </c>
      <c r="B728">
        <v>174</v>
      </c>
      <c r="C728">
        <v>174</v>
      </c>
      <c r="D728" s="2">
        <v>0.45</v>
      </c>
      <c r="E728" s="3">
        <v>6.0000000000000002E-45</v>
      </c>
      <c r="F728">
        <v>46.01</v>
      </c>
      <c r="G728" t="str">
        <f>HYPERLINK("https://www.ncbi.nlm.nih.gov/nucleotide/XM_029881727.1?report=genbank&amp;log$=nucltop&amp;blast_rank=39&amp;RID=GYRZXTBG013","XM_029881727.1")</f>
        <v>XM_029881727.1</v>
      </c>
    </row>
    <row r="729" spans="1:7" x14ac:dyDescent="0.35">
      <c r="A729" t="s">
        <v>429</v>
      </c>
      <c r="B729">
        <v>171</v>
      </c>
      <c r="C729">
        <v>171</v>
      </c>
      <c r="D729" s="2">
        <v>0.45</v>
      </c>
      <c r="E729" s="3">
        <v>1E-41</v>
      </c>
      <c r="F729">
        <v>46.01</v>
      </c>
      <c r="G729" t="str">
        <f>HYPERLINK("https://www.ncbi.nlm.nih.gov/nucleotide/FQ311431.1?report=genbank&amp;log$=nucltop&amp;blast_rank=40&amp;RID=GYRZXTBG013","FQ311431.1")</f>
        <v>FQ311431.1</v>
      </c>
    </row>
    <row r="730" spans="1:7" x14ac:dyDescent="0.35">
      <c r="A730" t="s">
        <v>430</v>
      </c>
      <c r="B730">
        <v>171</v>
      </c>
      <c r="C730">
        <v>171</v>
      </c>
      <c r="D730" s="2">
        <v>0.45</v>
      </c>
      <c r="E730" s="3">
        <v>1E-41</v>
      </c>
      <c r="F730">
        <v>46.01</v>
      </c>
      <c r="G730" t="str">
        <f>HYPERLINK("https://www.ncbi.nlm.nih.gov/nucleotide/LT795063.1?report=genbank&amp;log$=nucltop&amp;blast_rank=41&amp;RID=GYRZXTBG013","LT795063.1")</f>
        <v>LT795063.1</v>
      </c>
    </row>
    <row r="731" spans="1:7" x14ac:dyDescent="0.35">
      <c r="A731" t="s">
        <v>423</v>
      </c>
      <c r="B731">
        <v>171</v>
      </c>
      <c r="C731">
        <v>171</v>
      </c>
      <c r="D731" s="2">
        <v>0.45</v>
      </c>
      <c r="E731" s="3">
        <v>1E-41</v>
      </c>
      <c r="F731">
        <v>46.01</v>
      </c>
      <c r="G731" t="str">
        <f>HYPERLINK("https://www.ncbi.nlm.nih.gov/nucleotide/LK056684.1?report=genbank&amp;log$=nucltop&amp;blast_rank=42&amp;RID=GYRZXTBG013","LK056684.1")</f>
        <v>LK056684.1</v>
      </c>
    </row>
    <row r="732" spans="1:7" x14ac:dyDescent="0.35">
      <c r="A732" t="s">
        <v>424</v>
      </c>
      <c r="B732">
        <v>171</v>
      </c>
      <c r="C732">
        <v>171</v>
      </c>
      <c r="D732" s="2">
        <v>0.45</v>
      </c>
      <c r="E732" s="3">
        <v>1E-41</v>
      </c>
      <c r="F732">
        <v>46.01</v>
      </c>
      <c r="G732" t="str">
        <f>HYPERLINK("https://www.ncbi.nlm.nih.gov/nucleotide/CP010927.1?report=genbank&amp;log$=nucltop&amp;blast_rank=43&amp;RID=GYRZXTBG013","CP010927.1")</f>
        <v>CP010927.1</v>
      </c>
    </row>
    <row r="733" spans="1:7" x14ac:dyDescent="0.35">
      <c r="A733" t="s">
        <v>405</v>
      </c>
      <c r="B733">
        <v>219</v>
      </c>
      <c r="C733">
        <v>219</v>
      </c>
      <c r="D733" s="2">
        <v>0.45</v>
      </c>
      <c r="E733" s="3">
        <v>3.0000000000000001E-58</v>
      </c>
      <c r="F733">
        <v>45.78</v>
      </c>
      <c r="G733" t="str">
        <f>HYPERLINK("https://www.ncbi.nlm.nih.gov/nucleotide/CP019382.1?report=genbank&amp;log$=nucltop&amp;blast_rank=44&amp;RID=GYRZXTBG013","CP019382.1")</f>
        <v>CP019382.1</v>
      </c>
    </row>
    <row r="734" spans="1:7" x14ac:dyDescent="0.35">
      <c r="A734" t="s">
        <v>414</v>
      </c>
      <c r="B734">
        <v>177</v>
      </c>
      <c r="C734">
        <v>177</v>
      </c>
      <c r="D734" s="2">
        <v>0.45</v>
      </c>
      <c r="E734" s="3">
        <v>4.0000000000000001E-46</v>
      </c>
      <c r="F734">
        <v>45.66</v>
      </c>
      <c r="G734" t="str">
        <f>HYPERLINK("https://www.ncbi.nlm.nih.gov/nucleotide/XM_025507480.1?report=genbank&amp;log$=nucltop&amp;blast_rank=45&amp;RID=GYRZXTBG013","XM_025507480.1")</f>
        <v>XM_025507480.1</v>
      </c>
    </row>
    <row r="735" spans="1:7" x14ac:dyDescent="0.35">
      <c r="A735" t="s">
        <v>170</v>
      </c>
      <c r="B735">
        <v>172</v>
      </c>
      <c r="C735">
        <v>172</v>
      </c>
      <c r="D735" s="2">
        <v>0.45</v>
      </c>
      <c r="E735" s="3">
        <v>1.9999999999999999E-44</v>
      </c>
      <c r="F735">
        <v>45.54</v>
      </c>
      <c r="G735" t="str">
        <f>HYPERLINK("https://www.ncbi.nlm.nih.gov/nucleotide/XM_012334052.1?report=genbank&amp;log$=nucltop&amp;blast_rank=46&amp;RID=GYRZXTBG013","XM_012334052.1")</f>
        <v>XM_012334052.1</v>
      </c>
    </row>
    <row r="736" spans="1:7" x14ac:dyDescent="0.35">
      <c r="A736" t="s">
        <v>183</v>
      </c>
      <c r="B736">
        <v>170</v>
      </c>
      <c r="C736">
        <v>170</v>
      </c>
      <c r="D736" s="2">
        <v>0.45</v>
      </c>
      <c r="E736" s="3">
        <v>3.0000000000000002E-44</v>
      </c>
      <c r="F736">
        <v>45.54</v>
      </c>
      <c r="G736" t="str">
        <f>HYPERLINK("https://www.ncbi.nlm.nih.gov/nucleotide/XM_016436758.1?report=genbank&amp;log$=nucltop&amp;blast_rank=47&amp;RID=GYRZXTBG013","XM_016436758.1")</f>
        <v>XM_016436758.1</v>
      </c>
    </row>
    <row r="737" spans="1:7" x14ac:dyDescent="0.35">
      <c r="A737" t="s">
        <v>422</v>
      </c>
      <c r="B737">
        <v>173</v>
      </c>
      <c r="C737">
        <v>173</v>
      </c>
      <c r="D737" s="2">
        <v>0.45</v>
      </c>
      <c r="E737" s="3">
        <v>2.0000000000000001E-42</v>
      </c>
      <c r="F737">
        <v>45.54</v>
      </c>
      <c r="G737" t="str">
        <f>HYPERLINK("https://www.ncbi.nlm.nih.gov/nucleotide/HG529735.1?report=genbank&amp;log$=nucltop&amp;blast_rank=48&amp;RID=GYRZXTBG013","HG529735.1")</f>
        <v>HG529735.1</v>
      </c>
    </row>
    <row r="738" spans="1:7" x14ac:dyDescent="0.35">
      <c r="A738" t="s">
        <v>406</v>
      </c>
      <c r="B738">
        <v>196</v>
      </c>
      <c r="C738">
        <v>196</v>
      </c>
      <c r="D738" s="2">
        <v>0.45</v>
      </c>
      <c r="E738" s="3">
        <v>4.0000000000000001E-53</v>
      </c>
      <c r="F738">
        <v>44.81</v>
      </c>
      <c r="G738" t="str">
        <f>HYPERLINK("https://www.ncbi.nlm.nih.gov/nucleotide/XM_039056251.1?report=genbank&amp;log$=nucltop&amp;blast_rank=49&amp;RID=GYRZXTBG013","XM_039056251.1")</f>
        <v>XM_039056251.1</v>
      </c>
    </row>
    <row r="739" spans="1:7" x14ac:dyDescent="0.35">
      <c r="A739" t="s">
        <v>432</v>
      </c>
      <c r="B739">
        <v>187</v>
      </c>
      <c r="C739">
        <v>187</v>
      </c>
      <c r="D739" s="2">
        <v>0.45</v>
      </c>
      <c r="E739" s="3">
        <v>6.9999999999999999E-50</v>
      </c>
      <c r="F739">
        <v>44.81</v>
      </c>
      <c r="G739" t="str">
        <f>HYPERLINK("https://www.ncbi.nlm.nih.gov/nucleotide/XM_013385617.1?report=genbank&amp;log$=nucltop&amp;blast_rank=50&amp;RID=GYRZXTBG013","XM_013385617.1")</f>
        <v>XM_013385617.1</v>
      </c>
    </row>
    <row r="740" spans="1:7" x14ac:dyDescent="0.35">
      <c r="A740" t="s">
        <v>434</v>
      </c>
      <c r="B740">
        <v>176</v>
      </c>
      <c r="C740">
        <v>176</v>
      </c>
      <c r="D740" s="2">
        <v>0.42</v>
      </c>
      <c r="E740" s="3">
        <v>4.9999999999999998E-45</v>
      </c>
      <c r="F740">
        <v>44.78</v>
      </c>
      <c r="G740" t="str">
        <f>HYPERLINK("https://www.ncbi.nlm.nih.gov/nucleotide/XM_014800184.1?report=genbank&amp;log$=nucltop&amp;blast_rank=51&amp;RID=GYRZXTBG013","XM_014800184.1")</f>
        <v>XM_014800184.1</v>
      </c>
    </row>
    <row r="741" spans="1:7" x14ac:dyDescent="0.35">
      <c r="A741" t="s">
        <v>185</v>
      </c>
      <c r="B741">
        <v>171</v>
      </c>
      <c r="C741">
        <v>171</v>
      </c>
      <c r="D741" s="2">
        <v>0.45</v>
      </c>
      <c r="E741" s="3">
        <v>3.9999999999999999E-45</v>
      </c>
      <c r="F741">
        <v>44.39</v>
      </c>
      <c r="G741" t="str">
        <f>HYPERLINK("https://www.ncbi.nlm.nih.gov/nucleotide/XM_007878763.1?report=genbank&amp;log$=nucltop&amp;blast_rank=52&amp;RID=GYRZXTBG013","XM_007878763.1")</f>
        <v>XM_007878763.1</v>
      </c>
    </row>
    <row r="742" spans="1:7" x14ac:dyDescent="0.35">
      <c r="A742" t="s">
        <v>412</v>
      </c>
      <c r="B742">
        <v>177</v>
      </c>
      <c r="C742">
        <v>177</v>
      </c>
      <c r="D742" s="2">
        <v>0.45</v>
      </c>
      <c r="E742" s="3">
        <v>2.9999999999999999E-46</v>
      </c>
      <c r="F742">
        <v>43.93</v>
      </c>
      <c r="G742" t="str">
        <f>HYPERLINK("https://www.ncbi.nlm.nih.gov/nucleotide/XM_019193050.1?report=genbank&amp;log$=nucltop&amp;blast_rank=53&amp;RID=GYRZXTBG013","XM_019193050.1")</f>
        <v>XM_019193050.1</v>
      </c>
    </row>
    <row r="743" spans="1:7" x14ac:dyDescent="0.35">
      <c r="A743" t="s">
        <v>166</v>
      </c>
      <c r="B743">
        <v>169</v>
      </c>
      <c r="C743">
        <v>169</v>
      </c>
      <c r="D743" s="2">
        <v>0.41</v>
      </c>
      <c r="E743" s="3">
        <v>9.0000000000000002E-41</v>
      </c>
      <c r="F743">
        <v>43.88</v>
      </c>
      <c r="G743" t="str">
        <f>HYPERLINK("https://www.ncbi.nlm.nih.gov/nucleotide/CP060305.1?report=genbank&amp;log$=nucltop&amp;blast_rank=54&amp;RID=GYRZXTBG013","CP060305.1")</f>
        <v>CP060305.1</v>
      </c>
    </row>
    <row r="744" spans="1:7" x14ac:dyDescent="0.35">
      <c r="A744" t="s">
        <v>415</v>
      </c>
      <c r="B744">
        <v>179</v>
      </c>
      <c r="C744">
        <v>179</v>
      </c>
      <c r="D744" s="2">
        <v>0.45</v>
      </c>
      <c r="E744" s="3">
        <v>5.0000000000000001E-47</v>
      </c>
      <c r="F744">
        <v>43.84</v>
      </c>
      <c r="G744" t="str">
        <f>HYPERLINK("https://www.ncbi.nlm.nih.gov/nucleotide/XM_019155149.1?report=genbank&amp;log$=nucltop&amp;blast_rank=55&amp;RID=GYRZXTBG013","XM_019155149.1")</f>
        <v>XM_019155149.1</v>
      </c>
    </row>
    <row r="745" spans="1:7" x14ac:dyDescent="0.35">
      <c r="A745" t="s">
        <v>416</v>
      </c>
      <c r="B745">
        <v>179</v>
      </c>
      <c r="C745">
        <v>179</v>
      </c>
      <c r="D745" s="2">
        <v>0.45</v>
      </c>
      <c r="E745" s="3">
        <v>6.9999999999999996E-47</v>
      </c>
      <c r="F745">
        <v>43.84</v>
      </c>
      <c r="G745" t="str">
        <f>HYPERLINK("https://www.ncbi.nlm.nih.gov/nucleotide/XM_018409022.1?report=genbank&amp;log$=nucltop&amp;blast_rank=56&amp;RID=GYRZXTBG013","XM_018409022.1")</f>
        <v>XM_018409022.1</v>
      </c>
    </row>
    <row r="746" spans="1:7" x14ac:dyDescent="0.35">
      <c r="A746" t="s">
        <v>417</v>
      </c>
      <c r="B746">
        <v>169</v>
      </c>
      <c r="C746">
        <v>169</v>
      </c>
      <c r="D746" s="2">
        <v>0.44</v>
      </c>
      <c r="E746" s="3">
        <v>5.0000000000000002E-43</v>
      </c>
      <c r="F746">
        <v>43.4</v>
      </c>
      <c r="G746" t="str">
        <f>HYPERLINK("https://www.ncbi.nlm.nih.gov/nucleotide/XM_007006886.1?report=genbank&amp;log$=nucltop&amp;blast_rank=57&amp;RID=GYRZXTBG013","XM_007006886.1")</f>
        <v>XM_007006886.1</v>
      </c>
    </row>
    <row r="747" spans="1:7" x14ac:dyDescent="0.35">
      <c r="A747" t="s">
        <v>420</v>
      </c>
      <c r="B747">
        <v>174</v>
      </c>
      <c r="C747">
        <v>174</v>
      </c>
      <c r="D747" s="2">
        <v>0.45</v>
      </c>
      <c r="E747" s="3">
        <v>3.9999999999999999E-45</v>
      </c>
      <c r="F747">
        <v>42.73</v>
      </c>
      <c r="G747" t="str">
        <f>HYPERLINK("https://www.ncbi.nlm.nih.gov/nucleotide/XM_019143722.1?report=genbank&amp;log$=nucltop&amp;blast_rank=58&amp;RID=GYRZXTBG013","XM_019143722.1")</f>
        <v>XM_019143722.1</v>
      </c>
    </row>
    <row r="748" spans="1:7" x14ac:dyDescent="0.35">
      <c r="A748" t="s">
        <v>427</v>
      </c>
      <c r="B748">
        <v>179</v>
      </c>
      <c r="C748">
        <v>179</v>
      </c>
      <c r="D748" s="2">
        <v>0.45</v>
      </c>
      <c r="E748" s="3">
        <v>2E-46</v>
      </c>
      <c r="F748">
        <v>42.6</v>
      </c>
      <c r="G748" t="str">
        <f>HYPERLINK("https://www.ncbi.nlm.nih.gov/nucleotide/XM_019138643.1?report=genbank&amp;log$=nucltop&amp;blast_rank=59&amp;RID=GYRZXTBG013","XM_019138643.1")</f>
        <v>XM_019138643.1</v>
      </c>
    </row>
    <row r="749" spans="1:7" x14ac:dyDescent="0.35">
      <c r="A749" t="s">
        <v>408</v>
      </c>
      <c r="B749">
        <v>172</v>
      </c>
      <c r="C749">
        <v>172</v>
      </c>
      <c r="D749" s="2">
        <v>0.45</v>
      </c>
      <c r="E749" s="3">
        <v>3.0000000000000002E-44</v>
      </c>
      <c r="F749">
        <v>42.47</v>
      </c>
      <c r="G749" t="str">
        <f>HYPERLINK("https://www.ncbi.nlm.nih.gov/nucleotide/XM_003194443.1?report=genbank&amp;log$=nucltop&amp;blast_rank=60&amp;RID=GYRZXTBG013","XM_003194443.1")</f>
        <v>XM_003194443.1</v>
      </c>
    </row>
    <row r="750" spans="1:7" x14ac:dyDescent="0.35">
      <c r="A750" t="s">
        <v>409</v>
      </c>
      <c r="B750">
        <v>170</v>
      </c>
      <c r="C750">
        <v>170</v>
      </c>
      <c r="D750" s="2">
        <v>0.45</v>
      </c>
      <c r="E750" s="3">
        <v>2.0000000000000002E-43</v>
      </c>
      <c r="F750">
        <v>42.47</v>
      </c>
      <c r="G750" t="str">
        <f>HYPERLINK("https://www.ncbi.nlm.nih.gov/nucleotide/XM_770139.1?report=genbank&amp;log$=nucltop&amp;blast_rank=61&amp;RID=GYRZXTBG013","XM_770139.1")</f>
        <v>XM_770139.1</v>
      </c>
    </row>
    <row r="751" spans="1:7" x14ac:dyDescent="0.35">
      <c r="A751" t="s">
        <v>410</v>
      </c>
      <c r="B751">
        <v>170</v>
      </c>
      <c r="C751">
        <v>170</v>
      </c>
      <c r="D751" s="2">
        <v>0.45</v>
      </c>
      <c r="E751" s="3">
        <v>2.0000000000000002E-43</v>
      </c>
      <c r="F751">
        <v>42.47</v>
      </c>
      <c r="G751" t="str">
        <f>HYPERLINK("https://www.ncbi.nlm.nih.gov/nucleotide/HQ399545.1?report=genbank&amp;log$=nucltop&amp;blast_rank=62&amp;RID=GYRZXTBG013","HQ399545.1")</f>
        <v>HQ399545.1</v>
      </c>
    </row>
    <row r="752" spans="1:7" x14ac:dyDescent="0.35">
      <c r="A752" t="s">
        <v>411</v>
      </c>
      <c r="B752">
        <v>170</v>
      </c>
      <c r="C752">
        <v>170</v>
      </c>
      <c r="D752" s="2">
        <v>0.45</v>
      </c>
      <c r="E752" s="3">
        <v>1E-41</v>
      </c>
      <c r="F752">
        <v>42.47</v>
      </c>
      <c r="G752" t="str">
        <f>HYPERLINK("https://www.ncbi.nlm.nih.gov/nucleotide/XM_571034.2?report=genbank&amp;log$=nucltop&amp;blast_rank=63&amp;RID=GYRZXTBG013","XM_571034.2")</f>
        <v>XM_571034.2</v>
      </c>
    </row>
    <row r="753" spans="1:7" x14ac:dyDescent="0.35">
      <c r="A753" t="s">
        <v>904</v>
      </c>
      <c r="B753">
        <v>174</v>
      </c>
      <c r="C753">
        <v>174</v>
      </c>
      <c r="D753" s="2">
        <v>0.44</v>
      </c>
      <c r="E753" s="3">
        <v>4.9999999999999999E-46</v>
      </c>
      <c r="F753">
        <v>42.4</v>
      </c>
      <c r="G753" t="str">
        <f>HYPERLINK("https://www.ncbi.nlm.nih.gov/nucleotide/XM_040776542.1?report=genbank&amp;log$=nucltop&amp;blast_rank=64&amp;RID=GYRZXTBG013","XM_040776542.1")</f>
        <v>XM_040776542.1</v>
      </c>
    </row>
    <row r="754" spans="1:7" x14ac:dyDescent="0.35">
      <c r="A754" t="s">
        <v>407</v>
      </c>
      <c r="B754">
        <v>173</v>
      </c>
      <c r="C754">
        <v>173</v>
      </c>
      <c r="D754" s="2">
        <v>0.45</v>
      </c>
      <c r="E754" s="3">
        <v>5.0000000000000001E-47</v>
      </c>
      <c r="F754">
        <v>42.34</v>
      </c>
      <c r="G754" t="str">
        <f>HYPERLINK("https://www.ncbi.nlm.nih.gov/nucleotide/XM_018424900.1?report=genbank&amp;log$=nucltop&amp;blast_rank=65&amp;RID=GYRZXTBG013","XM_018424900.1")</f>
        <v>XM_018424900.1</v>
      </c>
    </row>
    <row r="755" spans="1:7" x14ac:dyDescent="0.35">
      <c r="A755" t="s">
        <v>419</v>
      </c>
      <c r="B755">
        <v>170</v>
      </c>
      <c r="C755">
        <v>170</v>
      </c>
      <c r="D755" s="2">
        <v>0.45</v>
      </c>
      <c r="E755" s="3">
        <v>1.0000000000000001E-43</v>
      </c>
      <c r="F755">
        <v>42.15</v>
      </c>
      <c r="G755" t="str">
        <f>HYPERLINK("https://www.ncbi.nlm.nih.gov/nucleotide/XM_019179827.1?report=genbank&amp;log$=nucltop&amp;blast_rank=66&amp;RID=GYRZXTBG013","XM_019179827.1")</f>
        <v>XM_019179827.1</v>
      </c>
    </row>
    <row r="756" spans="1:7" x14ac:dyDescent="0.35">
      <c r="A756" t="s">
        <v>426</v>
      </c>
      <c r="B756">
        <v>167</v>
      </c>
      <c r="C756">
        <v>167</v>
      </c>
      <c r="D756" s="2">
        <v>0.45</v>
      </c>
      <c r="E756" s="3">
        <v>1E-42</v>
      </c>
      <c r="F756">
        <v>42.06</v>
      </c>
      <c r="G756" t="str">
        <f>HYPERLINK("https://www.ncbi.nlm.nih.gov/nucleotide/XM_032005597.1?report=genbank&amp;log$=nucltop&amp;blast_rank=67&amp;RID=GYRZXTBG013","XM_032005597.1")</f>
        <v>XM_032005597.1</v>
      </c>
    </row>
    <row r="757" spans="1:7" x14ac:dyDescent="0.35">
      <c r="A757" t="s">
        <v>418</v>
      </c>
      <c r="B757">
        <v>169</v>
      </c>
      <c r="C757">
        <v>169</v>
      </c>
      <c r="D757" s="2">
        <v>0.45</v>
      </c>
      <c r="E757" s="3">
        <v>7.0000000000000004E-42</v>
      </c>
      <c r="F757">
        <v>41.82</v>
      </c>
      <c r="G757" t="str">
        <f>HYPERLINK("https://www.ncbi.nlm.nih.gov/nucleotide/XM_012194483.1?report=genbank&amp;log$=nucltop&amp;blast_rank=68&amp;RID=GYRZXTBG013","XM_012194483.1")</f>
        <v>XM_012194483.1</v>
      </c>
    </row>
    <row r="758" spans="1:7" x14ac:dyDescent="0.35">
      <c r="A758" t="s">
        <v>425</v>
      </c>
      <c r="B758">
        <v>164</v>
      </c>
      <c r="C758">
        <v>164</v>
      </c>
      <c r="D758" s="2">
        <v>0.45</v>
      </c>
      <c r="E758" s="3">
        <v>1.9999999999999999E-40</v>
      </c>
      <c r="F758">
        <v>41.44</v>
      </c>
      <c r="G758" t="str">
        <f>HYPERLINK("https://www.ncbi.nlm.nih.gov/nucleotide/XM_025521609.1?report=genbank&amp;log$=nucltop&amp;blast_rank=69&amp;RID=GYRZXTBG013","XM_025521609.1")</f>
        <v>XM_025521609.1</v>
      </c>
    </row>
    <row r="759" spans="1:7" x14ac:dyDescent="0.35">
      <c r="A759" t="s">
        <v>441</v>
      </c>
      <c r="B759">
        <v>157</v>
      </c>
      <c r="C759">
        <v>157</v>
      </c>
      <c r="D759" s="2">
        <v>0.44</v>
      </c>
      <c r="E759" s="3">
        <v>2.9999999999999999E-38</v>
      </c>
      <c r="F759">
        <v>41.43</v>
      </c>
      <c r="G759" t="str">
        <f>HYPERLINK("https://www.ncbi.nlm.nih.gov/nucleotide/XM_025745181.1?report=genbank&amp;log$=nucltop&amp;blast_rank=70&amp;RID=GYRZXTBG013","XM_025745181.1")</f>
        <v>XM_025745181.1</v>
      </c>
    </row>
    <row r="760" spans="1:7" x14ac:dyDescent="0.35">
      <c r="A760" t="s">
        <v>435</v>
      </c>
      <c r="B760">
        <v>173</v>
      </c>
      <c r="C760">
        <v>173</v>
      </c>
      <c r="D760" s="2">
        <v>0.45</v>
      </c>
      <c r="E760" s="3">
        <v>3.9999999999999998E-44</v>
      </c>
      <c r="F760">
        <v>41.28</v>
      </c>
      <c r="G760" t="str">
        <f>HYPERLINK("https://www.ncbi.nlm.nih.gov/nucleotide/XM_003319999.2?report=genbank&amp;log$=nucltop&amp;blast_rank=71&amp;RID=GYRZXTBG013","XM_003319999.2")</f>
        <v>XM_003319999.2</v>
      </c>
    </row>
    <row r="761" spans="1:7" x14ac:dyDescent="0.35">
      <c r="A761" t="s">
        <v>436</v>
      </c>
      <c r="B761">
        <v>172</v>
      </c>
      <c r="C761">
        <v>172</v>
      </c>
      <c r="D761" s="2">
        <v>0.45</v>
      </c>
      <c r="E761" s="3">
        <v>3E-43</v>
      </c>
      <c r="F761">
        <v>41.28</v>
      </c>
      <c r="G761" t="str">
        <f>HYPERLINK("https://www.ncbi.nlm.nih.gov/nucleotide/XM_003337970.2?report=genbank&amp;log$=nucltop&amp;blast_rank=72&amp;RID=GYRZXTBG013","XM_003337970.2")</f>
        <v>XM_003337970.2</v>
      </c>
    </row>
    <row r="762" spans="1:7" x14ac:dyDescent="0.35">
      <c r="A762" t="s">
        <v>433</v>
      </c>
      <c r="B762">
        <v>154</v>
      </c>
      <c r="C762">
        <v>154</v>
      </c>
      <c r="D762" s="2">
        <v>0.45</v>
      </c>
      <c r="E762" s="3">
        <v>1.9999999999999999E-39</v>
      </c>
      <c r="F762">
        <v>40.89</v>
      </c>
      <c r="G762" t="str">
        <f>HYPERLINK("https://www.ncbi.nlm.nih.gov/nucleotide/XM_025496346.1?report=genbank&amp;log$=nucltop&amp;blast_rank=73&amp;RID=GYRZXTBG013","XM_025496346.1")</f>
        <v>XM_025496346.1</v>
      </c>
    </row>
    <row r="763" spans="1:7" x14ac:dyDescent="0.35">
      <c r="A763" t="s">
        <v>442</v>
      </c>
      <c r="B763">
        <v>174</v>
      </c>
      <c r="C763">
        <v>174</v>
      </c>
      <c r="D763" s="2">
        <v>0.45</v>
      </c>
      <c r="E763" s="3">
        <v>1.0000000000000001E-43</v>
      </c>
      <c r="F763">
        <v>40.43</v>
      </c>
      <c r="G763" t="str">
        <f>HYPERLINK("https://www.ncbi.nlm.nih.gov/nucleotide/XM_025513131.1?report=genbank&amp;log$=nucltop&amp;blast_rank=74&amp;RID=GYRZXTBG013","XM_025513131.1")</f>
        <v>XM_025513131.1</v>
      </c>
    </row>
    <row r="764" spans="1:7" x14ac:dyDescent="0.35">
      <c r="A764" t="s">
        <v>326</v>
      </c>
      <c r="B764">
        <v>166</v>
      </c>
      <c r="C764">
        <v>166</v>
      </c>
      <c r="D764" s="2">
        <v>0.44</v>
      </c>
      <c r="E764" s="3">
        <v>2.9999999999999999E-41</v>
      </c>
      <c r="F764">
        <v>40.28</v>
      </c>
      <c r="G764" t="str">
        <f>HYPERLINK("https://www.ncbi.nlm.nih.gov/nucleotide/XM_014715922.1?report=genbank&amp;log$=nucltop&amp;blast_rank=75&amp;RID=GYRZXTBG013","XM_014715922.1")</f>
        <v>XM_014715922.1</v>
      </c>
    </row>
    <row r="765" spans="1:7" x14ac:dyDescent="0.35">
      <c r="A765" t="s">
        <v>431</v>
      </c>
      <c r="B765">
        <v>165</v>
      </c>
      <c r="C765">
        <v>165</v>
      </c>
      <c r="D765" s="2">
        <v>0.45</v>
      </c>
      <c r="E765" s="3">
        <v>6.9999999999999999E-41</v>
      </c>
      <c r="F765">
        <v>39.909999999999997</v>
      </c>
      <c r="G765" t="str">
        <f>HYPERLINK("https://www.ncbi.nlm.nih.gov/nucleotide/XM_022012622.1?report=genbank&amp;log$=nucltop&amp;blast_rank=76&amp;RID=GYRZXTBG013","XM_022012622.1")</f>
        <v>XM_022012622.1</v>
      </c>
    </row>
    <row r="766" spans="1:7" x14ac:dyDescent="0.35">
      <c r="A766" t="s">
        <v>437</v>
      </c>
      <c r="B766">
        <v>155</v>
      </c>
      <c r="C766">
        <v>155</v>
      </c>
      <c r="D766" s="2">
        <v>0.45</v>
      </c>
      <c r="E766" s="3">
        <v>3.0000000000000002E-40</v>
      </c>
      <c r="F766">
        <v>39.64</v>
      </c>
      <c r="G766" t="str">
        <f>HYPERLINK("https://www.ncbi.nlm.nih.gov/nucleotide/XM_028624687.1?report=genbank&amp;log$=nucltop&amp;blast_rank=77&amp;RID=GYRZXTBG013","XM_028624687.1")</f>
        <v>XM_028624687.1</v>
      </c>
    </row>
    <row r="767" spans="1:7" x14ac:dyDescent="0.35">
      <c r="A767" t="s">
        <v>438</v>
      </c>
      <c r="B767">
        <v>163</v>
      </c>
      <c r="C767">
        <v>163</v>
      </c>
      <c r="D767" s="2">
        <v>0.45</v>
      </c>
      <c r="E767" s="3">
        <v>9.9999999999999993E-41</v>
      </c>
      <c r="F767">
        <v>39.47</v>
      </c>
      <c r="G767" t="str">
        <f>HYPERLINK("https://www.ncbi.nlm.nih.gov/nucleotide/XM_025493523.1?report=genbank&amp;log$=nucltop&amp;blast_rank=78&amp;RID=GYRZXTBG013","XM_025493523.1")</f>
        <v>XM_025493523.1</v>
      </c>
    </row>
    <row r="768" spans="1:7" x14ac:dyDescent="0.35">
      <c r="A768" t="s">
        <v>439</v>
      </c>
      <c r="B768">
        <v>167</v>
      </c>
      <c r="C768">
        <v>167</v>
      </c>
      <c r="D768" s="2">
        <v>0.45</v>
      </c>
      <c r="E768" s="3">
        <v>3.0000000000000003E-42</v>
      </c>
      <c r="F768">
        <v>39.46</v>
      </c>
      <c r="G768" t="str">
        <f>HYPERLINK("https://www.ncbi.nlm.nih.gov/nucleotide/XM_016417699.1?report=genbank&amp;log$=nucltop&amp;blast_rank=79&amp;RID=GYRZXTBG013","XM_016417699.1")</f>
        <v>XM_016417699.1</v>
      </c>
    </row>
    <row r="769" spans="1:7" x14ac:dyDescent="0.35">
      <c r="A769" t="s">
        <v>440</v>
      </c>
      <c r="B769">
        <v>161</v>
      </c>
      <c r="C769">
        <v>161</v>
      </c>
      <c r="D769" s="2">
        <v>0.45</v>
      </c>
      <c r="E769" s="3">
        <v>4.9999999999999996E-40</v>
      </c>
      <c r="F769">
        <v>39.32</v>
      </c>
      <c r="G769" t="str">
        <f>HYPERLINK("https://www.ncbi.nlm.nih.gov/nucleotide/XM_007411685.1?report=genbank&amp;log$=nucltop&amp;blast_rank=80&amp;RID=GYRZXTBG013","XM_007411685.1")</f>
        <v>XM_007411685.1</v>
      </c>
    </row>
    <row r="770" spans="1:7" x14ac:dyDescent="0.35">
      <c r="A770" t="s">
        <v>443</v>
      </c>
      <c r="B770">
        <v>151</v>
      </c>
      <c r="C770">
        <v>151</v>
      </c>
      <c r="D770" s="2">
        <v>0.45</v>
      </c>
      <c r="E770" s="3">
        <v>2E-35</v>
      </c>
      <c r="F770">
        <v>35.51</v>
      </c>
      <c r="G770" t="str">
        <f>HYPERLINK("https://www.ncbi.nlm.nih.gov/nucleotide/XM_007874156.1?report=genbank&amp;log$=nucltop&amp;blast_rank=81&amp;RID=GYRZXTBG013","XM_007874156.1")</f>
        <v>XM_007874156.1</v>
      </c>
    </row>
    <row r="771" spans="1:7" x14ac:dyDescent="0.35">
      <c r="A771" t="s">
        <v>444</v>
      </c>
      <c r="B771">
        <v>146</v>
      </c>
      <c r="C771">
        <v>146</v>
      </c>
      <c r="D771" s="2">
        <v>0.45</v>
      </c>
      <c r="E771" s="3">
        <v>6E-34</v>
      </c>
      <c r="F771">
        <v>35.049999999999997</v>
      </c>
      <c r="G771" t="str">
        <f>HYPERLINK("https://www.ncbi.nlm.nih.gov/nucleotide/XM_018369006.1?report=genbank&amp;log$=nucltop&amp;blast_rank=82&amp;RID=GYRZXTBG013","XM_018369006.1")</f>
        <v>XM_018369006.1</v>
      </c>
    </row>
    <row r="772" spans="1:7" x14ac:dyDescent="0.35">
      <c r="A772" t="s">
        <v>445</v>
      </c>
      <c r="B772">
        <v>144</v>
      </c>
      <c r="C772">
        <v>144</v>
      </c>
      <c r="D772" s="2">
        <v>0.45</v>
      </c>
      <c r="E772" s="3">
        <v>1.0000000000000001E-33</v>
      </c>
      <c r="F772">
        <v>34.229999999999997</v>
      </c>
      <c r="G772" t="str">
        <f>HYPERLINK("https://www.ncbi.nlm.nih.gov/nucleotide/XM_022027061.1?report=genbank&amp;log$=nucltop&amp;blast_rank=83&amp;RID=GYRZXTBG013","XM_022027061.1")</f>
        <v>XM_022027061.1</v>
      </c>
    </row>
    <row r="773" spans="1:7" x14ac:dyDescent="0.35">
      <c r="A773" t="s">
        <v>466</v>
      </c>
      <c r="B773">
        <v>131</v>
      </c>
      <c r="C773">
        <v>131</v>
      </c>
      <c r="D773" s="2">
        <v>0.45</v>
      </c>
      <c r="E773" s="3">
        <v>3.9999999999999999E-28</v>
      </c>
      <c r="F773">
        <v>33.94</v>
      </c>
      <c r="G773" t="str">
        <f>HYPERLINK("https://www.ncbi.nlm.nih.gov/nucleotide/CP061160.1?report=genbank&amp;log$=nucltop&amp;blast_rank=84&amp;RID=GYRZXTBG013","CP061160.1")</f>
        <v>CP061160.1</v>
      </c>
    </row>
    <row r="774" spans="1:7" x14ac:dyDescent="0.35">
      <c r="A774" t="s">
        <v>905</v>
      </c>
      <c r="B774">
        <v>131</v>
      </c>
      <c r="C774">
        <v>131</v>
      </c>
      <c r="D774" s="2">
        <v>0.45</v>
      </c>
      <c r="E774" s="3">
        <v>3.9999999999999999E-28</v>
      </c>
      <c r="F774">
        <v>33.94</v>
      </c>
      <c r="G774" t="str">
        <f>HYPERLINK("https://www.ncbi.nlm.nih.gov/nucleotide/CP076948.1?report=genbank&amp;log$=nucltop&amp;blast_rank=85&amp;RID=GYRZXTBG013","CP076948.1")</f>
        <v>CP076948.1</v>
      </c>
    </row>
    <row r="775" spans="1:7" x14ac:dyDescent="0.35">
      <c r="A775" t="s">
        <v>906</v>
      </c>
      <c r="B775">
        <v>131</v>
      </c>
      <c r="C775">
        <v>131</v>
      </c>
      <c r="D775" s="2">
        <v>0.45</v>
      </c>
      <c r="E775" s="3">
        <v>3.9999999999999999E-28</v>
      </c>
      <c r="F775">
        <v>33.94</v>
      </c>
      <c r="G775" t="str">
        <f>HYPERLINK("https://www.ncbi.nlm.nih.gov/nucleotide/CP060340.1?report=genbank&amp;log$=nucltop&amp;blast_rank=86&amp;RID=GYRZXTBG013","CP060340.1")</f>
        <v>CP060340.1</v>
      </c>
    </row>
    <row r="776" spans="1:7" x14ac:dyDescent="0.35">
      <c r="A776" t="s">
        <v>907</v>
      </c>
      <c r="B776">
        <v>131</v>
      </c>
      <c r="C776">
        <v>131</v>
      </c>
      <c r="D776" s="2">
        <v>0.45</v>
      </c>
      <c r="E776" s="3">
        <v>3.9999999999999999E-28</v>
      </c>
      <c r="F776">
        <v>33.94</v>
      </c>
      <c r="G776" t="str">
        <f>HYPERLINK("https://www.ncbi.nlm.nih.gov/nucleotide/CP060375.1?report=genbank&amp;log$=nucltop&amp;blast_rank=87&amp;RID=GYRZXTBG013","CP060375.1")</f>
        <v>CP060375.1</v>
      </c>
    </row>
    <row r="777" spans="1:7" x14ac:dyDescent="0.35">
      <c r="A777" t="s">
        <v>908</v>
      </c>
      <c r="B777">
        <v>131</v>
      </c>
      <c r="C777">
        <v>131</v>
      </c>
      <c r="D777" s="2">
        <v>0.45</v>
      </c>
      <c r="E777" s="3">
        <v>3.9999999999999999E-28</v>
      </c>
      <c r="F777">
        <v>33.94</v>
      </c>
      <c r="G777" t="str">
        <f>HYPERLINK("https://www.ncbi.nlm.nih.gov/nucleotide/CP076878.1?report=genbank&amp;log$=nucltop&amp;blast_rank=88&amp;RID=GYRZXTBG013","CP076878.1")</f>
        <v>CP076878.1</v>
      </c>
    </row>
    <row r="778" spans="1:7" x14ac:dyDescent="0.35">
      <c r="A778" t="s">
        <v>909</v>
      </c>
      <c r="B778">
        <v>131</v>
      </c>
      <c r="C778">
        <v>131</v>
      </c>
      <c r="D778" s="2">
        <v>0.45</v>
      </c>
      <c r="E778" s="3">
        <v>3.9999999999999999E-28</v>
      </c>
      <c r="F778">
        <v>33.94</v>
      </c>
      <c r="G778" t="str">
        <f>HYPERLINK("https://www.ncbi.nlm.nih.gov/nucleotide/CP076997.1?report=genbank&amp;log$=nucltop&amp;blast_rank=89&amp;RID=GYRZXTBG013","CP076997.1")</f>
        <v>CP076997.1</v>
      </c>
    </row>
    <row r="779" spans="1:7" x14ac:dyDescent="0.35">
      <c r="A779" t="s">
        <v>910</v>
      </c>
      <c r="B779">
        <v>131</v>
      </c>
      <c r="C779">
        <v>131</v>
      </c>
      <c r="D779" s="2">
        <v>0.45</v>
      </c>
      <c r="E779" s="3">
        <v>3.9999999999999999E-28</v>
      </c>
      <c r="F779">
        <v>33.94</v>
      </c>
      <c r="G779" t="str">
        <f>HYPERLINK("https://www.ncbi.nlm.nih.gov/nucleotide/CP077046.1?report=genbank&amp;log$=nucltop&amp;blast_rank=90&amp;RID=GYRZXTBG013","CP077046.1")</f>
        <v>CP077046.1</v>
      </c>
    </row>
    <row r="780" spans="1:7" x14ac:dyDescent="0.35">
      <c r="A780" t="s">
        <v>911</v>
      </c>
      <c r="B780">
        <v>131</v>
      </c>
      <c r="C780">
        <v>131</v>
      </c>
      <c r="D780" s="2">
        <v>0.45</v>
      </c>
      <c r="E780" s="3">
        <v>3.9999999999999999E-28</v>
      </c>
      <c r="F780">
        <v>33.94</v>
      </c>
      <c r="G780" t="str">
        <f>HYPERLINK("https://www.ncbi.nlm.nih.gov/nucleotide/CP076912.1?report=genbank&amp;log$=nucltop&amp;blast_rank=91&amp;RID=GYRZXTBG013","CP076912.1")</f>
        <v>CP076912.1</v>
      </c>
    </row>
    <row r="781" spans="1:7" x14ac:dyDescent="0.35">
      <c r="A781" t="s">
        <v>912</v>
      </c>
      <c r="B781">
        <v>131</v>
      </c>
      <c r="C781">
        <v>131</v>
      </c>
      <c r="D781" s="2">
        <v>0.45</v>
      </c>
      <c r="E781" s="3">
        <v>3.9999999999999999E-28</v>
      </c>
      <c r="F781">
        <v>33.94</v>
      </c>
      <c r="G781" t="str">
        <f>HYPERLINK("https://www.ncbi.nlm.nih.gov/nucleotide/CP077018.1?report=genbank&amp;log$=nucltop&amp;blast_rank=92&amp;RID=GYRZXTBG013","CP077018.1")</f>
        <v>CP077018.1</v>
      </c>
    </row>
    <row r="782" spans="1:7" x14ac:dyDescent="0.35">
      <c r="A782" t="s">
        <v>913</v>
      </c>
      <c r="B782">
        <v>131</v>
      </c>
      <c r="C782">
        <v>131</v>
      </c>
      <c r="D782" s="2">
        <v>0.45</v>
      </c>
      <c r="E782" s="3">
        <v>3.9999999999999999E-28</v>
      </c>
      <c r="F782">
        <v>33.94</v>
      </c>
      <c r="G782" t="str">
        <f>HYPERLINK("https://www.ncbi.nlm.nih.gov/nucleotide/CP076969.1?report=genbank&amp;log$=nucltop&amp;blast_rank=93&amp;RID=GYRZXTBG013","CP076969.1")</f>
        <v>CP076969.1</v>
      </c>
    </row>
    <row r="783" spans="1:7" x14ac:dyDescent="0.35">
      <c r="A783" t="s">
        <v>914</v>
      </c>
      <c r="B783">
        <v>131</v>
      </c>
      <c r="C783">
        <v>131</v>
      </c>
      <c r="D783" s="2">
        <v>0.45</v>
      </c>
      <c r="E783" s="3">
        <v>3.9999999999999999E-28</v>
      </c>
      <c r="F783">
        <v>33.94</v>
      </c>
      <c r="G783" t="str">
        <f>HYPERLINK("https://www.ncbi.nlm.nih.gov/nucleotide/CP077004.1?report=genbank&amp;log$=nucltop&amp;blast_rank=94&amp;RID=GYRZXTBG013","CP077004.1")</f>
        <v>CP077004.1</v>
      </c>
    </row>
    <row r="784" spans="1:7" x14ac:dyDescent="0.35">
      <c r="A784" t="s">
        <v>915</v>
      </c>
      <c r="B784">
        <v>131</v>
      </c>
      <c r="C784">
        <v>131</v>
      </c>
      <c r="D784" s="2">
        <v>0.45</v>
      </c>
      <c r="E784" s="3">
        <v>3.9999999999999999E-28</v>
      </c>
      <c r="F784">
        <v>33.94</v>
      </c>
      <c r="G784" t="str">
        <f>HYPERLINK("https://www.ncbi.nlm.nih.gov/nucleotide/CP076906.1?report=genbank&amp;log$=nucltop&amp;blast_rank=95&amp;RID=GYRZXTBG013","CP076906.1")</f>
        <v>CP076906.1</v>
      </c>
    </row>
    <row r="785" spans="1:7" x14ac:dyDescent="0.35">
      <c r="A785" t="s">
        <v>916</v>
      </c>
      <c r="B785">
        <v>131</v>
      </c>
      <c r="C785">
        <v>131</v>
      </c>
      <c r="D785" s="2">
        <v>0.45</v>
      </c>
      <c r="E785" s="3">
        <v>3.9999999999999999E-28</v>
      </c>
      <c r="F785">
        <v>33.94</v>
      </c>
      <c r="G785" t="str">
        <f>HYPERLINK("https://www.ncbi.nlm.nih.gov/nucleotide/CP076934.1?report=genbank&amp;log$=nucltop&amp;blast_rank=96&amp;RID=GYRZXTBG013","CP076934.1")</f>
        <v>CP076934.1</v>
      </c>
    </row>
    <row r="786" spans="1:7" x14ac:dyDescent="0.35">
      <c r="A786" t="s">
        <v>917</v>
      </c>
      <c r="B786">
        <v>131</v>
      </c>
      <c r="C786">
        <v>131</v>
      </c>
      <c r="D786" s="2">
        <v>0.45</v>
      </c>
      <c r="E786" s="3">
        <v>3.9999999999999999E-28</v>
      </c>
      <c r="F786">
        <v>33.94</v>
      </c>
      <c r="G786" t="str">
        <f>HYPERLINK("https://www.ncbi.nlm.nih.gov/nucleotide/CP076750.1?report=genbank&amp;log$=nucltop&amp;blast_rank=97&amp;RID=GYRZXTBG013","CP076750.1")</f>
        <v>CP076750.1</v>
      </c>
    </row>
    <row r="787" spans="1:7" x14ac:dyDescent="0.35">
      <c r="A787" t="s">
        <v>918</v>
      </c>
      <c r="B787">
        <v>131</v>
      </c>
      <c r="C787">
        <v>131</v>
      </c>
      <c r="D787" s="2">
        <v>0.45</v>
      </c>
      <c r="E787" s="3">
        <v>3.9999999999999999E-28</v>
      </c>
      <c r="F787">
        <v>33.94</v>
      </c>
      <c r="G787" t="str">
        <f>HYPERLINK("https://www.ncbi.nlm.nih.gov/nucleotide/CP076871.1?report=genbank&amp;log$=nucltop&amp;blast_rank=98&amp;RID=GYRZXTBG013","CP076871.1")</f>
        <v>CP076871.1</v>
      </c>
    </row>
    <row r="788" spans="1:7" x14ac:dyDescent="0.35">
      <c r="A788" t="s">
        <v>457</v>
      </c>
      <c r="B788">
        <v>130</v>
      </c>
      <c r="C788">
        <v>130</v>
      </c>
      <c r="D788" s="2">
        <v>0.44</v>
      </c>
      <c r="E788" s="3">
        <v>3E-28</v>
      </c>
      <c r="F788">
        <v>33.799999999999997</v>
      </c>
      <c r="G788" t="str">
        <f>HYPERLINK("https://www.ncbi.nlm.nih.gov/nucleotide/XM_025480965.1?report=genbank&amp;log$=nucltop&amp;blast_rank=99&amp;RID=GYRZXTBG013","XM_025480965.1")</f>
        <v>XM_025480965.1</v>
      </c>
    </row>
    <row r="789" spans="1:7" x14ac:dyDescent="0.35">
      <c r="A789" t="s">
        <v>919</v>
      </c>
      <c r="B789">
        <v>149</v>
      </c>
      <c r="C789">
        <v>149</v>
      </c>
      <c r="D789" s="2">
        <v>0.45</v>
      </c>
      <c r="E789" s="3">
        <v>4E-35</v>
      </c>
      <c r="F789">
        <v>32.89</v>
      </c>
      <c r="G789" t="str">
        <f>HYPERLINK("https://www.ncbi.nlm.nih.gov/nucleotide/XM_019168748.1?report=genbank&amp;log$=nucltop&amp;blast_rank=100&amp;RID=GYRZXTBG013","XM_019168748.1")</f>
        <v>XM_019168748.1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9DFFC-59EA-43C9-BAEC-9CBD9C9B5FA1}">
  <dimension ref="A1:G835"/>
  <sheetViews>
    <sheetView workbookViewId="0">
      <selection activeCell="A32" sqref="A32"/>
    </sheetView>
  </sheetViews>
  <sheetFormatPr defaultRowHeight="14.5" x14ac:dyDescent="0.35"/>
  <cols>
    <col min="1" max="1" width="88.26953125" bestFit="1" customWidth="1"/>
    <col min="2" max="2" width="9.54296875" bestFit="1" customWidth="1"/>
    <col min="3" max="3" width="10.08984375" bestFit="1" customWidth="1"/>
    <col min="4" max="4" width="11.1796875" bestFit="1" customWidth="1"/>
    <col min="5" max="6" width="9" bestFit="1" customWidth="1"/>
    <col min="7" max="7" width="15.1796875" bestFit="1" customWidth="1"/>
  </cols>
  <sheetData>
    <row r="1" spans="1:7" x14ac:dyDescent="0.35">
      <c r="A1" s="1" t="s">
        <v>928</v>
      </c>
    </row>
    <row r="2" spans="1:7" x14ac:dyDescent="0.35">
      <c r="A2" s="1" t="s">
        <v>929</v>
      </c>
    </row>
    <row r="3" spans="1:7" x14ac:dyDescent="0.3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 x14ac:dyDescent="0.35">
      <c r="A4" t="s">
        <v>9</v>
      </c>
      <c r="B4">
        <v>320</v>
      </c>
      <c r="C4">
        <v>1203</v>
      </c>
      <c r="D4" s="2">
        <v>1</v>
      </c>
      <c r="E4">
        <v>0</v>
      </c>
      <c r="F4">
        <v>93.87</v>
      </c>
      <c r="G4" t="str">
        <f>HYPERLINK("https://www.ncbi.nlm.nih.gov/nucleotide/LR732079.1?report=genbank&amp;log$=nucltop&amp;blast_rank=1&amp;RID=0RS9W66U013","LR732079.1")</f>
        <v>LR732079.1</v>
      </c>
    </row>
    <row r="5" spans="1:7" x14ac:dyDescent="0.35">
      <c r="A5" s="4" t="s">
        <v>10</v>
      </c>
      <c r="B5" s="4">
        <v>181</v>
      </c>
      <c r="C5" s="4">
        <v>181</v>
      </c>
      <c r="D5" s="5">
        <v>0.18</v>
      </c>
      <c r="E5" s="6">
        <v>2E-50</v>
      </c>
      <c r="F5" s="4">
        <v>70.8</v>
      </c>
      <c r="G5" s="4" t="str">
        <f>HYPERLINK("https://www.ncbi.nlm.nih.gov/nucleotide/AB551954.1?report=genbank&amp;log$=nucltop&amp;blast_rank=2&amp;RID=0RS9W66U013","AB551954.1")</f>
        <v>AB551954.1</v>
      </c>
    </row>
    <row r="6" spans="1:7" x14ac:dyDescent="0.35">
      <c r="A6" s="4" t="s">
        <v>11</v>
      </c>
      <c r="B6" s="4">
        <v>745</v>
      </c>
      <c r="C6" s="4">
        <v>745</v>
      </c>
      <c r="D6" s="5">
        <v>0.97</v>
      </c>
      <c r="E6" s="4">
        <v>0</v>
      </c>
      <c r="F6" s="4">
        <v>60.5</v>
      </c>
      <c r="G6" s="4" t="str">
        <f>HYPERLINK("https://www.ncbi.nlm.nih.gov/nucleotide/AB551982.1?report=genbank&amp;log$=nucltop&amp;blast_rank=3&amp;RID=0RS9W66U013","AB551982.1")</f>
        <v>AB551982.1</v>
      </c>
    </row>
    <row r="7" spans="1:7" x14ac:dyDescent="0.35">
      <c r="A7" t="s">
        <v>12</v>
      </c>
      <c r="B7">
        <v>691</v>
      </c>
      <c r="C7">
        <v>691</v>
      </c>
      <c r="D7" s="2">
        <v>0.92</v>
      </c>
      <c r="E7">
        <v>0</v>
      </c>
      <c r="F7">
        <v>59.65</v>
      </c>
      <c r="G7" t="str">
        <f>HYPERLINK("https://www.ncbi.nlm.nih.gov/nucleotide/XM_036779060.1?report=genbank&amp;log$=nucltop&amp;blast_rank=4&amp;RID=0RS9W66U013","XM_036779060.1")</f>
        <v>XM_036779060.1</v>
      </c>
    </row>
    <row r="8" spans="1:7" x14ac:dyDescent="0.35">
      <c r="A8" s="4" t="s">
        <v>13</v>
      </c>
      <c r="B8" s="4">
        <v>694</v>
      </c>
      <c r="C8" s="4">
        <v>694</v>
      </c>
      <c r="D8" s="5">
        <v>0.97</v>
      </c>
      <c r="E8" s="4">
        <v>0</v>
      </c>
      <c r="F8" s="4">
        <v>57.73</v>
      </c>
      <c r="G8" s="4" t="str">
        <f>HYPERLINK("https://www.ncbi.nlm.nih.gov/nucleotide/XM_037359092.1?report=genbank&amp;log$=nucltop&amp;blast_rank=5&amp;RID=0RS9W66U013","XM_037359092.1")</f>
        <v>XM_037359092.1</v>
      </c>
    </row>
    <row r="9" spans="1:7" x14ac:dyDescent="0.35">
      <c r="A9" t="s">
        <v>14</v>
      </c>
      <c r="B9">
        <v>695</v>
      </c>
      <c r="C9">
        <v>695</v>
      </c>
      <c r="D9" s="2">
        <v>0.97</v>
      </c>
      <c r="E9">
        <v>0</v>
      </c>
      <c r="F9">
        <v>56.86</v>
      </c>
      <c r="G9" t="str">
        <f>HYPERLINK("https://www.ncbi.nlm.nih.gov/nucleotide/XM_007330301.1?report=genbank&amp;log$=nucltop&amp;blast_rank=6&amp;RID=0RS9W66U013","XM_007330301.1")</f>
        <v>XM_007330301.1</v>
      </c>
    </row>
    <row r="10" spans="1:7" x14ac:dyDescent="0.35">
      <c r="A10" t="s">
        <v>15</v>
      </c>
      <c r="B10">
        <v>692</v>
      </c>
      <c r="C10">
        <v>692</v>
      </c>
      <c r="D10" s="2">
        <v>0.97</v>
      </c>
      <c r="E10">
        <v>0</v>
      </c>
      <c r="F10">
        <v>56.86</v>
      </c>
      <c r="G10" t="str">
        <f>HYPERLINK("https://www.ncbi.nlm.nih.gov/nucleotide/XM_006459161.1?report=genbank&amp;log$=nucltop&amp;blast_rank=7&amp;RID=0RS9W66U013","XM_006459161.1")</f>
        <v>XM_006459161.1</v>
      </c>
    </row>
    <row r="11" spans="1:7" x14ac:dyDescent="0.35">
      <c r="A11" t="s">
        <v>16</v>
      </c>
      <c r="B11">
        <v>387</v>
      </c>
      <c r="C11">
        <v>1160</v>
      </c>
      <c r="D11" s="2">
        <v>0.97</v>
      </c>
      <c r="E11" s="3">
        <v>4E-176</v>
      </c>
      <c r="F11">
        <v>56.55</v>
      </c>
      <c r="G11" t="str">
        <f>HYPERLINK("https://www.ncbi.nlm.nih.gov/nucleotide/CP039877.1?report=genbank&amp;log$=nucltop&amp;blast_rank=8&amp;RID=0RS9W66U013","CP039877.1")</f>
        <v>CP039877.1</v>
      </c>
    </row>
    <row r="12" spans="1:7" x14ac:dyDescent="0.35">
      <c r="A12" t="s">
        <v>17</v>
      </c>
      <c r="B12">
        <v>387</v>
      </c>
      <c r="C12">
        <v>1160</v>
      </c>
      <c r="D12" s="2">
        <v>0.97</v>
      </c>
      <c r="E12" s="3">
        <v>4E-176</v>
      </c>
      <c r="F12">
        <v>56.55</v>
      </c>
      <c r="G12" t="str">
        <f>HYPERLINK("https://www.ncbi.nlm.nih.gov/nucleotide/CP015461.1?report=genbank&amp;log$=nucltop&amp;blast_rank=9&amp;RID=0RS9W66U013","CP015461.1")</f>
        <v>CP015461.1</v>
      </c>
    </row>
    <row r="13" spans="1:7" x14ac:dyDescent="0.35">
      <c r="A13" t="s">
        <v>18</v>
      </c>
      <c r="B13">
        <v>387</v>
      </c>
      <c r="C13">
        <v>1160</v>
      </c>
      <c r="D13" s="2">
        <v>0.97</v>
      </c>
      <c r="E13" s="3">
        <v>4E-176</v>
      </c>
      <c r="F13">
        <v>56.55</v>
      </c>
      <c r="G13" t="str">
        <f>HYPERLINK("https://www.ncbi.nlm.nih.gov/nucleotide/CP015474.1?report=genbank&amp;log$=nucltop&amp;blast_rank=10&amp;RID=0RS9W66U013","CP015474.1")</f>
        <v>CP015474.1</v>
      </c>
    </row>
    <row r="14" spans="1:7" x14ac:dyDescent="0.35">
      <c r="A14" t="s">
        <v>19</v>
      </c>
      <c r="B14">
        <v>665</v>
      </c>
      <c r="C14">
        <v>665</v>
      </c>
      <c r="D14" s="2">
        <v>0.97</v>
      </c>
      <c r="E14">
        <v>0</v>
      </c>
      <c r="F14">
        <v>54.35</v>
      </c>
      <c r="G14" t="str">
        <f>HYPERLINK("https://www.ncbi.nlm.nih.gov/nucleotide/XM_001880889.1?report=genbank&amp;log$=nucltop&amp;blast_rank=11&amp;RID=0RS9W66U013","XM_001880889.1")</f>
        <v>XM_001880889.1</v>
      </c>
    </row>
    <row r="15" spans="1:7" x14ac:dyDescent="0.35">
      <c r="A15" t="s">
        <v>21</v>
      </c>
      <c r="B15">
        <v>635</v>
      </c>
      <c r="C15">
        <v>635</v>
      </c>
      <c r="D15" s="2">
        <v>0.98</v>
      </c>
      <c r="E15">
        <v>0</v>
      </c>
      <c r="F15">
        <v>51.45</v>
      </c>
      <c r="G15" t="str">
        <f>HYPERLINK("https://www.ncbi.nlm.nih.gov/nucleotide/XM_009546986.1?report=genbank&amp;log$=nucltop&amp;blast_rank=12&amp;RID=0RS9W66U013","XM_009546986.1")</f>
        <v>XM_009546986.1</v>
      </c>
    </row>
    <row r="16" spans="1:7" x14ac:dyDescent="0.35">
      <c r="A16" s="4" t="s">
        <v>20</v>
      </c>
      <c r="B16" s="4">
        <v>174</v>
      </c>
      <c r="C16" s="4">
        <v>403</v>
      </c>
      <c r="D16" s="5">
        <v>0.94</v>
      </c>
      <c r="E16" s="6">
        <v>3.0000000000000001E-95</v>
      </c>
      <c r="F16" s="4">
        <v>51.28</v>
      </c>
      <c r="G16" s="4" t="str">
        <f>HYPERLINK("https://www.ncbi.nlm.nih.gov/nucleotide/KJ999702.1?report=genbank&amp;log$=nucltop&amp;blast_rank=13&amp;RID=0RS9W66U013","KJ999702.1")</f>
        <v>KJ999702.1</v>
      </c>
    </row>
    <row r="17" spans="1:7" x14ac:dyDescent="0.35">
      <c r="A17" t="s">
        <v>30</v>
      </c>
      <c r="B17">
        <v>186</v>
      </c>
      <c r="C17">
        <v>338</v>
      </c>
      <c r="D17" s="2">
        <v>0.62</v>
      </c>
      <c r="E17" s="3">
        <v>4.9999999999999998E-82</v>
      </c>
      <c r="F17">
        <v>49.07</v>
      </c>
      <c r="G17" t="str">
        <f>HYPERLINK("https://www.ncbi.nlm.nih.gov/nucleotide/CP031825.1?report=genbank&amp;log$=nucltop&amp;blast_rank=14&amp;RID=0RS9W66U013","CP031825.1")</f>
        <v>CP031825.1</v>
      </c>
    </row>
    <row r="18" spans="1:7" x14ac:dyDescent="0.35">
      <c r="A18" t="s">
        <v>31</v>
      </c>
      <c r="B18">
        <v>186</v>
      </c>
      <c r="C18">
        <v>338</v>
      </c>
      <c r="D18" s="2">
        <v>0.62</v>
      </c>
      <c r="E18" s="3">
        <v>4.9999999999999998E-82</v>
      </c>
      <c r="F18">
        <v>49.07</v>
      </c>
      <c r="G18" t="str">
        <f>HYPERLINK("https://www.ncbi.nlm.nih.gov/nucleotide/LK023313.1?report=genbank&amp;log$=nucltop&amp;blast_rank=15&amp;RID=0RS9W66U013","LK023313.1")</f>
        <v>LK023313.1</v>
      </c>
    </row>
    <row r="19" spans="1:7" x14ac:dyDescent="0.35">
      <c r="A19" t="s">
        <v>22</v>
      </c>
      <c r="B19">
        <v>474</v>
      </c>
      <c r="C19">
        <v>474</v>
      </c>
      <c r="D19" s="2">
        <v>0.89</v>
      </c>
      <c r="E19" s="3">
        <v>4.0000000000000003E-158</v>
      </c>
      <c r="F19">
        <v>47.33</v>
      </c>
      <c r="G19" t="str">
        <f>HYPERLINK("https://www.ncbi.nlm.nih.gov/nucleotide/XM_001836369.2?report=genbank&amp;log$=nucltop&amp;blast_rank=16&amp;RID=0RS9W66U013","XM_001836369.2")</f>
        <v>XM_001836369.2</v>
      </c>
    </row>
    <row r="20" spans="1:7" x14ac:dyDescent="0.35">
      <c r="A20" t="s">
        <v>24</v>
      </c>
      <c r="B20">
        <v>525</v>
      </c>
      <c r="C20">
        <v>525</v>
      </c>
      <c r="D20" s="2">
        <v>0.97</v>
      </c>
      <c r="E20" s="3">
        <v>1E-176</v>
      </c>
      <c r="F20">
        <v>45.04</v>
      </c>
      <c r="G20" t="str">
        <f>HYPERLINK("https://www.ncbi.nlm.nih.gov/nucleotide/XM_037359093.1?report=genbank&amp;log$=nucltop&amp;blast_rank=17&amp;RID=0RS9W66U013","XM_037359093.1")</f>
        <v>XM_037359093.1</v>
      </c>
    </row>
    <row r="21" spans="1:7" x14ac:dyDescent="0.35">
      <c r="A21" t="s">
        <v>23</v>
      </c>
      <c r="B21">
        <v>494</v>
      </c>
      <c r="C21">
        <v>494</v>
      </c>
      <c r="D21" s="2">
        <v>0.97</v>
      </c>
      <c r="E21" s="3">
        <v>3E-162</v>
      </c>
      <c r="F21">
        <v>44</v>
      </c>
      <c r="G21" t="str">
        <f>HYPERLINK("https://www.ncbi.nlm.nih.gov/nucleotide/XM_007300021.1?report=genbank&amp;log$=nucltop&amp;blast_rank=18&amp;RID=0RS9W66U013","XM_007300021.1")</f>
        <v>XM_007300021.1</v>
      </c>
    </row>
    <row r="22" spans="1:7" x14ac:dyDescent="0.35">
      <c r="A22" t="s">
        <v>27</v>
      </c>
      <c r="B22">
        <v>176</v>
      </c>
      <c r="C22">
        <v>403</v>
      </c>
      <c r="D22" s="2">
        <v>0.97</v>
      </c>
      <c r="E22" s="3">
        <v>3.0000000000000001E-95</v>
      </c>
      <c r="F22">
        <v>43.92</v>
      </c>
      <c r="G22" t="str">
        <f>HYPERLINK("https://www.ncbi.nlm.nih.gov/nucleotide/CP031830.1?report=genbank&amp;log$=nucltop&amp;blast_rank=19&amp;RID=0RS9W66U013","CP031830.1")</f>
        <v>CP031830.1</v>
      </c>
    </row>
    <row r="23" spans="1:7" x14ac:dyDescent="0.35">
      <c r="A23" t="s">
        <v>28</v>
      </c>
      <c r="B23">
        <v>176</v>
      </c>
      <c r="C23">
        <v>403</v>
      </c>
      <c r="D23" s="2">
        <v>0.97</v>
      </c>
      <c r="E23" s="3">
        <v>3.0000000000000001E-95</v>
      </c>
      <c r="F23">
        <v>43.92</v>
      </c>
      <c r="G23" t="str">
        <f>HYPERLINK("https://www.ncbi.nlm.nih.gov/nucleotide/LK023335.1?report=genbank&amp;log$=nucltop&amp;blast_rank=20&amp;RID=0RS9W66U013","LK023335.1")</f>
        <v>LK023335.1</v>
      </c>
    </row>
    <row r="24" spans="1:7" x14ac:dyDescent="0.35">
      <c r="A24" t="s">
        <v>25</v>
      </c>
      <c r="B24">
        <v>521</v>
      </c>
      <c r="C24">
        <v>521</v>
      </c>
      <c r="D24" s="2">
        <v>0.98</v>
      </c>
      <c r="E24" s="3">
        <v>5E-175</v>
      </c>
      <c r="F24">
        <v>43.78</v>
      </c>
      <c r="G24" t="str">
        <f>HYPERLINK("https://www.ncbi.nlm.nih.gov/nucleotide/XM_007330400.1?report=genbank&amp;log$=nucltop&amp;blast_rank=21&amp;RID=0RS9W66U013","XM_007330400.1")</f>
        <v>XM_007330400.1</v>
      </c>
    </row>
    <row r="25" spans="1:7" x14ac:dyDescent="0.35">
      <c r="A25" t="s">
        <v>26</v>
      </c>
      <c r="B25">
        <v>521</v>
      </c>
      <c r="C25">
        <v>521</v>
      </c>
      <c r="D25" s="2">
        <v>0.98</v>
      </c>
      <c r="E25" s="3">
        <v>1E-174</v>
      </c>
      <c r="F25">
        <v>43.62</v>
      </c>
      <c r="G25" t="str">
        <f>HYPERLINK("https://www.ncbi.nlm.nih.gov/nucleotide/XM_006459162.1?report=genbank&amp;log$=nucltop&amp;blast_rank=22&amp;RID=0RS9W66U013","XM_006459162.1")</f>
        <v>XM_006459162.1</v>
      </c>
    </row>
    <row r="26" spans="1:7" x14ac:dyDescent="0.35">
      <c r="A26" t="s">
        <v>29</v>
      </c>
      <c r="B26">
        <v>508</v>
      </c>
      <c r="C26">
        <v>508</v>
      </c>
      <c r="D26" s="2">
        <v>0.99</v>
      </c>
      <c r="E26" s="3">
        <v>3.9999999999999999E-170</v>
      </c>
      <c r="F26">
        <v>43.02</v>
      </c>
      <c r="G26" t="str">
        <f>HYPERLINK("https://www.ncbi.nlm.nih.gov/nucleotide/XM_036779059.1?report=genbank&amp;log$=nucltop&amp;blast_rank=23&amp;RID=0RS9W66U013","XM_036779059.1")</f>
        <v>XM_036779059.1</v>
      </c>
    </row>
    <row r="27" spans="1:7" x14ac:dyDescent="0.35">
      <c r="A27" t="s">
        <v>21</v>
      </c>
      <c r="B27">
        <v>492</v>
      </c>
      <c r="C27">
        <v>492</v>
      </c>
      <c r="D27" s="2">
        <v>0.98</v>
      </c>
      <c r="E27" s="3">
        <v>9.9999999999999995E-163</v>
      </c>
      <c r="F27">
        <v>41.49</v>
      </c>
      <c r="G27" t="str">
        <f>HYPERLINK("https://www.ncbi.nlm.nih.gov/nucleotide/XM_009546985.1?report=genbank&amp;log$=nucltop&amp;blast_rank=24&amp;RID=0RS9W66U013","XM_009546985.1")</f>
        <v>XM_009546985.1</v>
      </c>
    </row>
    <row r="28" spans="1:7" x14ac:dyDescent="0.35">
      <c r="A28" t="s">
        <v>32</v>
      </c>
      <c r="B28">
        <v>470</v>
      </c>
      <c r="C28">
        <v>470</v>
      </c>
      <c r="D28" s="2">
        <v>0.98</v>
      </c>
      <c r="E28" s="3">
        <v>4.0000000000000003E-152</v>
      </c>
      <c r="F28">
        <v>40.98</v>
      </c>
      <c r="G28" t="str">
        <f>HYPERLINK("https://www.ncbi.nlm.nih.gov/nucleotide/XM_018429091.1?report=genbank&amp;log$=nucltop&amp;blast_rank=25&amp;RID=0RS9W66U013","XM_018429091.1")</f>
        <v>XM_018429091.1</v>
      </c>
    </row>
    <row r="29" spans="1:7" x14ac:dyDescent="0.35">
      <c r="A29" t="s">
        <v>34</v>
      </c>
      <c r="B29">
        <v>458</v>
      </c>
      <c r="C29">
        <v>458</v>
      </c>
      <c r="D29" s="2">
        <v>0.97</v>
      </c>
      <c r="E29" s="3">
        <v>2E-150</v>
      </c>
      <c r="F29">
        <v>40.54</v>
      </c>
      <c r="G29" t="str">
        <f>HYPERLINK("https://www.ncbi.nlm.nih.gov/nucleotide/XM_001836368.2?report=genbank&amp;log$=nucltop&amp;blast_rank=26&amp;RID=0RS9W66U013","XM_001836368.2")</f>
        <v>XM_001836368.2</v>
      </c>
    </row>
    <row r="30" spans="1:7" x14ac:dyDescent="0.35">
      <c r="A30" t="s">
        <v>19</v>
      </c>
      <c r="B30">
        <v>474</v>
      </c>
      <c r="C30">
        <v>474</v>
      </c>
      <c r="D30" s="2">
        <v>0.97</v>
      </c>
      <c r="E30" s="3">
        <v>5.0000000000000002E-157</v>
      </c>
      <c r="F30">
        <v>39.64</v>
      </c>
      <c r="G30" t="str">
        <f>HYPERLINK("https://www.ncbi.nlm.nih.gov/nucleotide/XM_001880890.1?report=genbank&amp;log$=nucltop&amp;blast_rank=27&amp;RID=0RS9W66U013","XM_001880890.1")</f>
        <v>XM_001880890.1</v>
      </c>
    </row>
    <row r="31" spans="1:7" x14ac:dyDescent="0.35">
      <c r="A31" t="s">
        <v>33</v>
      </c>
      <c r="B31">
        <v>464</v>
      </c>
      <c r="C31">
        <v>464</v>
      </c>
      <c r="D31" s="2">
        <v>0.98</v>
      </c>
      <c r="E31" s="3">
        <v>6E-152</v>
      </c>
      <c r="F31">
        <v>39.6</v>
      </c>
      <c r="G31" t="str">
        <f>HYPERLINK("https://www.ncbi.nlm.nih.gov/nucleotide/XM_007300020.1?report=genbank&amp;log$=nucltop&amp;blast_rank=28&amp;RID=0RS9W66U013","XM_007300020.1")</f>
        <v>XM_007300020.1</v>
      </c>
    </row>
    <row r="32" spans="1:7" x14ac:dyDescent="0.35">
      <c r="A32" t="s">
        <v>35</v>
      </c>
      <c r="B32">
        <v>445</v>
      </c>
      <c r="C32">
        <v>445</v>
      </c>
      <c r="D32" s="2">
        <v>0.98</v>
      </c>
      <c r="E32" s="3">
        <v>2.9999999999999999E-145</v>
      </c>
      <c r="F32">
        <v>38.840000000000003</v>
      </c>
      <c r="G32" t="str">
        <f>HYPERLINK("https://www.ncbi.nlm.nih.gov/nucleotide/XM_023610462.1?report=genbank&amp;log$=nucltop&amp;blast_rank=29&amp;RID=0RS9W66U013","XM_023610462.1")</f>
        <v>XM_023610462.1</v>
      </c>
    </row>
    <row r="33" spans="1:7" x14ac:dyDescent="0.35">
      <c r="A33" t="s">
        <v>37</v>
      </c>
      <c r="B33">
        <v>312</v>
      </c>
      <c r="C33">
        <v>312</v>
      </c>
      <c r="D33" s="2">
        <v>0.93</v>
      </c>
      <c r="E33" s="3">
        <v>1.9999999999999999E-88</v>
      </c>
      <c r="F33">
        <v>36.24</v>
      </c>
      <c r="G33" t="str">
        <f>HYPERLINK("https://www.ncbi.nlm.nih.gov/nucleotide/LR732085.1?report=genbank&amp;log$=nucltop&amp;blast_rank=30&amp;RID=0RS9W66U013","LR732085.1")</f>
        <v>LR732085.1</v>
      </c>
    </row>
    <row r="34" spans="1:7" x14ac:dyDescent="0.35">
      <c r="A34" t="s">
        <v>39</v>
      </c>
      <c r="B34">
        <v>366</v>
      </c>
      <c r="C34">
        <v>366</v>
      </c>
      <c r="D34" s="2">
        <v>0.98</v>
      </c>
      <c r="E34" s="3">
        <v>1.0000000000000001E-114</v>
      </c>
      <c r="F34">
        <v>35.76</v>
      </c>
      <c r="G34" t="str">
        <f>HYPERLINK("https://www.ncbi.nlm.nih.gov/nucleotide/XM_025316703.1?report=genbank&amp;log$=nucltop&amp;blast_rank=31&amp;RID=0RS9W66U013","XM_025316703.1")</f>
        <v>XM_025316703.1</v>
      </c>
    </row>
    <row r="35" spans="1:7" x14ac:dyDescent="0.35">
      <c r="A35" t="s">
        <v>38</v>
      </c>
      <c r="B35">
        <v>172</v>
      </c>
      <c r="C35">
        <v>172</v>
      </c>
      <c r="D35" s="2">
        <v>0.48</v>
      </c>
      <c r="E35" s="3">
        <v>1.0000000000000001E-43</v>
      </c>
      <c r="F35">
        <v>35.67</v>
      </c>
      <c r="G35" t="str">
        <f>HYPERLINK("https://www.ncbi.nlm.nih.gov/nucleotide/XM_001221435.1?report=genbank&amp;log$=nucltop&amp;blast_rank=32&amp;RID=0RS9W66U013","XM_001221435.1")</f>
        <v>XM_001221435.1</v>
      </c>
    </row>
    <row r="36" spans="1:7" x14ac:dyDescent="0.35">
      <c r="A36" t="s">
        <v>36</v>
      </c>
      <c r="B36">
        <v>107</v>
      </c>
      <c r="C36">
        <v>189</v>
      </c>
      <c r="D36" s="2">
        <v>0.68</v>
      </c>
      <c r="E36" s="3">
        <v>1.0000000000000001E-37</v>
      </c>
      <c r="F36">
        <v>34.64</v>
      </c>
      <c r="G36" t="str">
        <f>HYPERLINK("https://www.ncbi.nlm.nih.gov/nucleotide/AM270105.1?report=genbank&amp;log$=nucltop&amp;blast_rank=33&amp;RID=0RS9W66U013","AM270105.1")</f>
        <v>AM270105.1</v>
      </c>
    </row>
    <row r="37" spans="1:7" x14ac:dyDescent="0.35">
      <c r="A37" t="s">
        <v>491</v>
      </c>
      <c r="B37">
        <v>188</v>
      </c>
      <c r="C37">
        <v>188</v>
      </c>
      <c r="D37" s="2">
        <v>0.67</v>
      </c>
      <c r="E37" s="3">
        <v>2.9999999999999999E-48</v>
      </c>
      <c r="F37">
        <v>33.64</v>
      </c>
      <c r="G37" t="str">
        <f>HYPERLINK("https://www.ncbi.nlm.nih.gov/nucleotide/XM_039068458.1?report=genbank&amp;log$=nucltop&amp;blast_rank=34&amp;RID=0RS9W66U013","XM_039068458.1")</f>
        <v>XM_039068458.1</v>
      </c>
    </row>
    <row r="38" spans="1:7" x14ac:dyDescent="0.35">
      <c r="A38" t="s">
        <v>40</v>
      </c>
      <c r="B38">
        <v>197</v>
      </c>
      <c r="C38">
        <v>197</v>
      </c>
      <c r="D38" s="2">
        <v>0.67</v>
      </c>
      <c r="E38" s="3">
        <v>3E-51</v>
      </c>
      <c r="F38">
        <v>33.630000000000003</v>
      </c>
      <c r="G38" t="str">
        <f>HYPERLINK("https://www.ncbi.nlm.nih.gov/nucleotide/XM_022531473.1?report=genbank&amp;log$=nucltop&amp;blast_rank=35&amp;RID=0RS9W66U013","XM_022531473.1")</f>
        <v>XM_022531473.1</v>
      </c>
    </row>
    <row r="39" spans="1:7" x14ac:dyDescent="0.35">
      <c r="A39" s="4" t="s">
        <v>44</v>
      </c>
      <c r="B39" s="4">
        <v>175</v>
      </c>
      <c r="C39" s="4">
        <v>175</v>
      </c>
      <c r="D39" s="5">
        <v>0.62</v>
      </c>
      <c r="E39" s="6">
        <v>1.9999999999999999E-44</v>
      </c>
      <c r="F39" s="4">
        <v>33.33</v>
      </c>
      <c r="G39" s="4" t="str">
        <f>HYPERLINK("https://www.ncbi.nlm.nih.gov/nucleotide/XM_033572072.1?report=genbank&amp;log$=nucltop&amp;blast_rank=36&amp;RID=0RS9W66U013","XM_033572072.1")</f>
        <v>XM_033572072.1</v>
      </c>
    </row>
    <row r="40" spans="1:7" x14ac:dyDescent="0.35">
      <c r="A40" t="s">
        <v>43</v>
      </c>
      <c r="B40">
        <v>186</v>
      </c>
      <c r="C40">
        <v>186</v>
      </c>
      <c r="D40" s="2">
        <v>0.73</v>
      </c>
      <c r="E40" s="3">
        <v>1.9999999999999999E-47</v>
      </c>
      <c r="F40">
        <v>33.26</v>
      </c>
      <c r="G40" t="str">
        <f>HYPERLINK("https://www.ncbi.nlm.nih.gov/nucleotide/XM_022549209.1?report=genbank&amp;log$=nucltop&amp;blast_rank=37&amp;RID=0RS9W66U013","XM_022549209.1")</f>
        <v>XM_022549209.1</v>
      </c>
    </row>
    <row r="41" spans="1:7" x14ac:dyDescent="0.35">
      <c r="A41" t="s">
        <v>42</v>
      </c>
      <c r="B41">
        <v>193</v>
      </c>
      <c r="C41">
        <v>193</v>
      </c>
      <c r="D41" s="2">
        <v>0.67</v>
      </c>
      <c r="E41" s="3">
        <v>6.9999999999999999E-50</v>
      </c>
      <c r="F41">
        <v>33.26</v>
      </c>
      <c r="G41" t="str">
        <f>HYPERLINK("https://www.ncbi.nlm.nih.gov/nucleotide/XM_015554209.1?report=genbank&amp;log$=nucltop&amp;blast_rank=38&amp;RID=0RS9W66U013","XM_015554209.1")</f>
        <v>XM_015554209.1</v>
      </c>
    </row>
    <row r="42" spans="1:7" x14ac:dyDescent="0.35">
      <c r="A42" s="4" t="s">
        <v>41</v>
      </c>
      <c r="B42" s="4">
        <v>184</v>
      </c>
      <c r="C42" s="4">
        <v>184</v>
      </c>
      <c r="D42" s="5">
        <v>0.67</v>
      </c>
      <c r="E42" s="6">
        <v>1E-46</v>
      </c>
      <c r="F42" s="4">
        <v>33.18</v>
      </c>
      <c r="G42" s="4" t="str">
        <f>HYPERLINK("https://www.ncbi.nlm.nih.gov/nucleotide/XM_032045412.1?report=genbank&amp;log$=nucltop&amp;blast_rank=39&amp;RID=0RS9W66U013","XM_032045412.1")</f>
        <v>XM_032045412.1</v>
      </c>
    </row>
    <row r="43" spans="1:7" x14ac:dyDescent="0.35">
      <c r="A43" t="s">
        <v>45</v>
      </c>
      <c r="B43">
        <v>202</v>
      </c>
      <c r="C43">
        <v>202</v>
      </c>
      <c r="D43" s="2">
        <v>0.71</v>
      </c>
      <c r="E43" s="3">
        <v>1E-53</v>
      </c>
      <c r="F43">
        <v>33.04</v>
      </c>
      <c r="G43" t="str">
        <f>HYPERLINK("https://www.ncbi.nlm.nih.gov/nucleotide/XM_007926421.1?report=genbank&amp;log$=nucltop&amp;blast_rank=40&amp;RID=0RS9W66U013","XM_007926421.1")</f>
        <v>XM_007926421.1</v>
      </c>
    </row>
    <row r="44" spans="1:7" x14ac:dyDescent="0.35">
      <c r="A44" t="s">
        <v>48</v>
      </c>
      <c r="B44">
        <v>199</v>
      </c>
      <c r="C44">
        <v>199</v>
      </c>
      <c r="D44" s="2">
        <v>0.69</v>
      </c>
      <c r="E44" s="3">
        <v>4E-51</v>
      </c>
      <c r="F44">
        <v>32.700000000000003</v>
      </c>
      <c r="G44" t="str">
        <f>HYPERLINK("https://www.ncbi.nlm.nih.gov/nucleotide/XM_009499650.1?report=genbank&amp;log$=nucltop&amp;blast_rank=41&amp;RID=0RS9W66U013","XM_009499650.1")</f>
        <v>XM_009499650.1</v>
      </c>
    </row>
    <row r="45" spans="1:7" x14ac:dyDescent="0.35">
      <c r="A45" s="4" t="s">
        <v>47</v>
      </c>
      <c r="B45" s="4">
        <v>190</v>
      </c>
      <c r="C45" s="4">
        <v>190</v>
      </c>
      <c r="D45" s="5">
        <v>0.67</v>
      </c>
      <c r="E45" s="6">
        <v>7.0000000000000001E-49</v>
      </c>
      <c r="F45" s="4">
        <v>32.65</v>
      </c>
      <c r="G45" s="4" t="str">
        <f>HYPERLINK("https://www.ncbi.nlm.nih.gov/nucleotide/XM_032089869.1?report=genbank&amp;log$=nucltop&amp;blast_rank=42&amp;RID=0RS9W66U013","XM_032089869.1")</f>
        <v>XM_032089869.1</v>
      </c>
    </row>
    <row r="46" spans="1:7" x14ac:dyDescent="0.35">
      <c r="A46" s="4" t="s">
        <v>50</v>
      </c>
      <c r="B46" s="4">
        <v>197</v>
      </c>
      <c r="C46" s="4">
        <v>197</v>
      </c>
      <c r="D46" s="5">
        <v>0.67</v>
      </c>
      <c r="E46" s="6">
        <v>2E-51</v>
      </c>
      <c r="F46" s="4">
        <v>32.42</v>
      </c>
      <c r="G46" s="4" t="str">
        <f>HYPERLINK("https://www.ncbi.nlm.nih.gov/nucleotide/XM_032058508.1?report=genbank&amp;log$=nucltop&amp;blast_rank=43&amp;RID=0RS9W66U013","XM_032058508.1")</f>
        <v>XM_032058508.1</v>
      </c>
    </row>
    <row r="47" spans="1:7" x14ac:dyDescent="0.35">
      <c r="A47" s="4" t="s">
        <v>65</v>
      </c>
      <c r="B47" s="4">
        <v>191</v>
      </c>
      <c r="C47" s="4">
        <v>191</v>
      </c>
      <c r="D47" s="5">
        <v>0.67</v>
      </c>
      <c r="E47" s="6">
        <v>4.9999999999999999E-49</v>
      </c>
      <c r="F47" s="4">
        <v>32.25</v>
      </c>
      <c r="G47" s="4" t="str">
        <f>HYPERLINK("https://www.ncbi.nlm.nih.gov/nucleotide/XM_026774556.1?report=genbank&amp;log$=nucltop&amp;blast_rank=44&amp;RID=0RS9W66U013","XM_026774556.1")</f>
        <v>XM_026774556.1</v>
      </c>
    </row>
    <row r="48" spans="1:7" x14ac:dyDescent="0.35">
      <c r="A48" t="s">
        <v>52</v>
      </c>
      <c r="B48">
        <v>142</v>
      </c>
      <c r="C48">
        <v>142</v>
      </c>
      <c r="D48" s="2">
        <v>0.53</v>
      </c>
      <c r="E48" s="3">
        <v>1.0000000000000001E-33</v>
      </c>
      <c r="F48">
        <v>32.24</v>
      </c>
      <c r="G48" t="str">
        <f>HYPERLINK("https://www.ncbi.nlm.nih.gov/nucleotide/XM_003857413.1?report=genbank&amp;log$=nucltop&amp;blast_rank=45&amp;RID=0RS9W66U013","XM_003857413.1")</f>
        <v>XM_003857413.1</v>
      </c>
    </row>
    <row r="49" spans="1:7" x14ac:dyDescent="0.35">
      <c r="A49" t="s">
        <v>49</v>
      </c>
      <c r="B49">
        <v>155</v>
      </c>
      <c r="C49">
        <v>155</v>
      </c>
      <c r="D49" s="2">
        <v>0.61</v>
      </c>
      <c r="E49" s="3">
        <v>9.9999999999999994E-37</v>
      </c>
      <c r="F49">
        <v>32.14</v>
      </c>
      <c r="G49" t="str">
        <f>HYPERLINK("https://www.ncbi.nlm.nih.gov/nucleotide/XM_001217916.1?report=genbank&amp;log$=nucltop&amp;blast_rank=46&amp;RID=0RS9W66U013","XM_001217916.1")</f>
        <v>XM_001217916.1</v>
      </c>
    </row>
    <row r="50" spans="1:7" x14ac:dyDescent="0.35">
      <c r="A50" t="s">
        <v>69</v>
      </c>
      <c r="B50">
        <v>191</v>
      </c>
      <c r="C50">
        <v>191</v>
      </c>
      <c r="D50" s="2">
        <v>0.67</v>
      </c>
      <c r="E50" s="3">
        <v>9.0000000000000004E-49</v>
      </c>
      <c r="F50">
        <v>32.090000000000003</v>
      </c>
      <c r="G50" t="str">
        <f>HYPERLINK("https://www.ncbi.nlm.nih.gov/nucleotide/XM_001390712.2?report=genbank&amp;log$=nucltop&amp;blast_rank=47&amp;RID=0RS9W66U013","XM_001390712.2")</f>
        <v>XM_001390712.2</v>
      </c>
    </row>
    <row r="51" spans="1:7" x14ac:dyDescent="0.35">
      <c r="A51" t="s">
        <v>51</v>
      </c>
      <c r="B51">
        <v>189</v>
      </c>
      <c r="C51">
        <v>189</v>
      </c>
      <c r="D51" s="2">
        <v>0.67</v>
      </c>
      <c r="E51" s="3">
        <v>2.9999999999999999E-48</v>
      </c>
      <c r="F51">
        <v>32.049999999999997</v>
      </c>
      <c r="G51" t="str">
        <f>HYPERLINK("https://www.ncbi.nlm.nih.gov/nucleotide/XM_025528552.1?report=genbank&amp;log$=nucltop&amp;blast_rank=48&amp;RID=0RS9W66U013","XM_025528552.1")</f>
        <v>XM_025528552.1</v>
      </c>
    </row>
    <row r="52" spans="1:7" x14ac:dyDescent="0.35">
      <c r="A52" t="s">
        <v>54</v>
      </c>
      <c r="B52">
        <v>147</v>
      </c>
      <c r="C52">
        <v>176</v>
      </c>
      <c r="D52" s="2">
        <v>0.65</v>
      </c>
      <c r="E52" s="3">
        <v>1.0000000000000001E-33</v>
      </c>
      <c r="F52">
        <v>31.81</v>
      </c>
      <c r="G52" t="str">
        <f>HYPERLINK("https://www.ncbi.nlm.nih.gov/nucleotide/LT853692.1?report=genbank&amp;log$=nucltop&amp;blast_rank=49&amp;RID=0RS9W66U013","LT853692.1")</f>
        <v>LT853692.1</v>
      </c>
    </row>
    <row r="53" spans="1:7" x14ac:dyDescent="0.35">
      <c r="A53" t="s">
        <v>55</v>
      </c>
      <c r="B53">
        <v>182</v>
      </c>
      <c r="C53">
        <v>182</v>
      </c>
      <c r="D53" s="2">
        <v>0.68</v>
      </c>
      <c r="E53" s="3">
        <v>2.9999999999999999E-46</v>
      </c>
      <c r="F53">
        <v>31.52</v>
      </c>
      <c r="G53" t="str">
        <f>HYPERLINK("https://www.ncbi.nlm.nih.gov/nucleotide/XM_032074407.1?report=genbank&amp;log$=nucltop&amp;blast_rank=50&amp;RID=0RS9W66U013","XM_032074407.1")</f>
        <v>XM_032074407.1</v>
      </c>
    </row>
    <row r="54" spans="1:7" x14ac:dyDescent="0.35">
      <c r="A54" t="s">
        <v>53</v>
      </c>
      <c r="B54">
        <v>183</v>
      </c>
      <c r="C54">
        <v>183</v>
      </c>
      <c r="D54" s="2">
        <v>0.67</v>
      </c>
      <c r="E54" s="3">
        <v>7.0000000000000004E-46</v>
      </c>
      <c r="F54">
        <v>31.42</v>
      </c>
      <c r="G54" t="str">
        <f>HYPERLINK("https://www.ncbi.nlm.nih.gov/nucleotide/XM_025704096.1?report=genbank&amp;log$=nucltop&amp;blast_rank=51&amp;RID=0RS9W66U013","XM_025704096.1")</f>
        <v>XM_025704096.1</v>
      </c>
    </row>
    <row r="55" spans="1:7" x14ac:dyDescent="0.35">
      <c r="A55" t="s">
        <v>57</v>
      </c>
      <c r="B55">
        <v>145</v>
      </c>
      <c r="C55">
        <v>176</v>
      </c>
      <c r="D55" s="2">
        <v>0.65</v>
      </c>
      <c r="E55" s="3">
        <v>1.0000000000000001E-33</v>
      </c>
      <c r="F55">
        <v>31.27</v>
      </c>
      <c r="G55" t="str">
        <f>HYPERLINK("https://www.ncbi.nlm.nih.gov/nucleotide/LT854253.1?report=genbank&amp;log$=nucltop&amp;blast_rank=52&amp;RID=0RS9W66U013","LT854253.1")</f>
        <v>LT854253.1</v>
      </c>
    </row>
    <row r="56" spans="1:7" x14ac:dyDescent="0.35">
      <c r="A56" t="s">
        <v>58</v>
      </c>
      <c r="B56">
        <v>145</v>
      </c>
      <c r="C56">
        <v>175</v>
      </c>
      <c r="D56" s="2">
        <v>0.65</v>
      </c>
      <c r="E56" s="3">
        <v>2.0000000000000001E-33</v>
      </c>
      <c r="F56">
        <v>31.27</v>
      </c>
      <c r="G56" t="str">
        <f>HYPERLINK("https://www.ncbi.nlm.nih.gov/nucleotide/LT854273.1?report=genbank&amp;log$=nucltop&amp;blast_rank=53&amp;RID=0RS9W66U013","LT854273.1")</f>
        <v>LT854273.1</v>
      </c>
    </row>
    <row r="57" spans="1:7" x14ac:dyDescent="0.35">
      <c r="A57" t="s">
        <v>59</v>
      </c>
      <c r="B57">
        <v>145</v>
      </c>
      <c r="C57">
        <v>175</v>
      </c>
      <c r="D57" s="2">
        <v>0.65</v>
      </c>
      <c r="E57" s="3">
        <v>2.0000000000000001E-33</v>
      </c>
      <c r="F57">
        <v>31.27</v>
      </c>
      <c r="G57" t="str">
        <f>HYPERLINK("https://www.ncbi.nlm.nih.gov/nucleotide/LT882676.1?report=genbank&amp;log$=nucltop&amp;blast_rank=54&amp;RID=0RS9W66U013","LT882676.1")</f>
        <v>LT882676.1</v>
      </c>
    </row>
    <row r="58" spans="1:7" x14ac:dyDescent="0.35">
      <c r="A58" t="s">
        <v>56</v>
      </c>
      <c r="B58">
        <v>171</v>
      </c>
      <c r="C58">
        <v>171</v>
      </c>
      <c r="D58" s="2">
        <v>0.67</v>
      </c>
      <c r="E58" s="3">
        <v>1E-42</v>
      </c>
      <c r="F58">
        <v>31.07</v>
      </c>
      <c r="G58" t="str">
        <f>HYPERLINK("https://www.ncbi.nlm.nih.gov/nucleotide/XM_024844676.1?report=genbank&amp;log$=nucltop&amp;blast_rank=55&amp;RID=0RS9W66U013","XM_024844676.1")</f>
        <v>XM_024844676.1</v>
      </c>
    </row>
    <row r="59" spans="1:7" x14ac:dyDescent="0.35">
      <c r="A59" t="s">
        <v>64</v>
      </c>
      <c r="B59">
        <v>150</v>
      </c>
      <c r="C59">
        <v>150</v>
      </c>
      <c r="D59" s="2">
        <v>0.67</v>
      </c>
      <c r="E59" s="3">
        <v>1.9999999999999999E-34</v>
      </c>
      <c r="F59">
        <v>30.91</v>
      </c>
      <c r="G59" t="str">
        <f>HYPERLINK("https://www.ncbi.nlm.nih.gov/nucleotide/XM_025524425.1?report=genbank&amp;log$=nucltop&amp;blast_rank=56&amp;RID=0RS9W66U013","XM_025524425.1")</f>
        <v>XM_025524425.1</v>
      </c>
    </row>
    <row r="60" spans="1:7" x14ac:dyDescent="0.35">
      <c r="A60" s="4" t="s">
        <v>60</v>
      </c>
      <c r="B60" s="4">
        <v>174</v>
      </c>
      <c r="C60" s="4">
        <v>174</v>
      </c>
      <c r="D60" s="5">
        <v>0.67</v>
      </c>
      <c r="E60" s="6">
        <v>9.0000000000000005E-43</v>
      </c>
      <c r="F60" s="4">
        <v>30.77</v>
      </c>
      <c r="G60" s="4" t="str">
        <f>HYPERLINK("https://www.ncbi.nlm.nih.gov/nucleotide/XM_035498527.1?report=genbank&amp;log$=nucltop&amp;blast_rank=57&amp;RID=0RS9W66U013","XM_035498527.1")</f>
        <v>XM_035498527.1</v>
      </c>
    </row>
    <row r="61" spans="1:7" x14ac:dyDescent="0.35">
      <c r="A61" t="s">
        <v>61</v>
      </c>
      <c r="B61">
        <v>162</v>
      </c>
      <c r="C61">
        <v>162</v>
      </c>
      <c r="D61" s="2">
        <v>0.74</v>
      </c>
      <c r="E61" s="3">
        <v>4.9999999999999998E-39</v>
      </c>
      <c r="F61">
        <v>30.66</v>
      </c>
      <c r="G61" t="str">
        <f>HYPERLINK("https://www.ncbi.nlm.nih.gov/nucleotide/XM_024831712.1?report=genbank&amp;log$=nucltop&amp;blast_rank=58&amp;RID=0RS9W66U013","XM_024831712.1")</f>
        <v>XM_024831712.1</v>
      </c>
    </row>
    <row r="62" spans="1:7" x14ac:dyDescent="0.35">
      <c r="A62" t="s">
        <v>68</v>
      </c>
      <c r="B62">
        <v>145</v>
      </c>
      <c r="C62">
        <v>145</v>
      </c>
      <c r="D62" s="2">
        <v>0.59</v>
      </c>
      <c r="E62" s="3">
        <v>3.9999999999999997E-34</v>
      </c>
      <c r="F62">
        <v>30.63</v>
      </c>
      <c r="G62" t="str">
        <f>HYPERLINK("https://www.ncbi.nlm.nih.gov/nucleotide/XM_001262908.1?report=genbank&amp;log$=nucltop&amp;blast_rank=59&amp;RID=0RS9W66U013","XM_001262908.1")</f>
        <v>XM_001262908.1</v>
      </c>
    </row>
    <row r="63" spans="1:7" x14ac:dyDescent="0.35">
      <c r="A63" t="s">
        <v>62</v>
      </c>
      <c r="B63">
        <v>129</v>
      </c>
      <c r="C63">
        <v>129</v>
      </c>
      <c r="D63" s="2">
        <v>0.54</v>
      </c>
      <c r="E63" s="3">
        <v>2.0000000000000001E-27</v>
      </c>
      <c r="F63">
        <v>29.54</v>
      </c>
      <c r="G63" t="str">
        <f>HYPERLINK("https://www.ncbi.nlm.nih.gov/nucleotide/XM_025673733.1?report=genbank&amp;log$=nucltop&amp;blast_rank=60&amp;RID=0RS9W66U013","XM_025673733.1")</f>
        <v>XM_025673733.1</v>
      </c>
    </row>
    <row r="64" spans="1:7" x14ac:dyDescent="0.35">
      <c r="A64" t="s">
        <v>79</v>
      </c>
      <c r="B64">
        <v>163</v>
      </c>
      <c r="C64">
        <v>163</v>
      </c>
      <c r="D64" s="2">
        <v>0.61</v>
      </c>
      <c r="E64" s="3">
        <v>1.9999999999999999E-39</v>
      </c>
      <c r="F64">
        <v>29.52</v>
      </c>
      <c r="G64" t="str">
        <f>HYPERLINK("https://www.ncbi.nlm.nih.gov/nucleotide/XM_033553550.1?report=genbank&amp;log$=nucltop&amp;blast_rank=61&amp;RID=0RS9W66U013","XM_033553550.1")</f>
        <v>XM_033553550.1</v>
      </c>
    </row>
    <row r="65" spans="1:7" x14ac:dyDescent="0.35">
      <c r="A65" t="s">
        <v>78</v>
      </c>
      <c r="B65">
        <v>146</v>
      </c>
      <c r="C65">
        <v>146</v>
      </c>
      <c r="D65" s="2">
        <v>0.62</v>
      </c>
      <c r="E65" s="3">
        <v>1.9999999999999999E-34</v>
      </c>
      <c r="F65">
        <v>29.49</v>
      </c>
      <c r="G65" t="str">
        <f>HYPERLINK("https://www.ncbi.nlm.nih.gov/nucleotide/XM_001262909.1?report=genbank&amp;log$=nucltop&amp;blast_rank=62&amp;RID=0RS9W66U013","XM_001262909.1")</f>
        <v>XM_001262909.1</v>
      </c>
    </row>
    <row r="66" spans="1:7" x14ac:dyDescent="0.35">
      <c r="A66" t="s">
        <v>71</v>
      </c>
      <c r="B66">
        <v>134</v>
      </c>
      <c r="C66">
        <v>134</v>
      </c>
      <c r="D66" s="2">
        <v>0.61</v>
      </c>
      <c r="E66" s="3">
        <v>4.9999999999999999E-29</v>
      </c>
      <c r="F66">
        <v>29.37</v>
      </c>
      <c r="G66" t="str">
        <f>HYPERLINK("https://www.ncbi.nlm.nih.gov/nucleotide/XM_025658697.1?report=genbank&amp;log$=nucltop&amp;blast_rank=63&amp;RID=0RS9W66U013","XM_025658697.1")</f>
        <v>XM_025658697.1</v>
      </c>
    </row>
    <row r="67" spans="1:7" x14ac:dyDescent="0.35">
      <c r="A67" t="s">
        <v>90</v>
      </c>
      <c r="B67">
        <v>164</v>
      </c>
      <c r="C67">
        <v>164</v>
      </c>
      <c r="D67" s="2">
        <v>0.67</v>
      </c>
      <c r="E67" s="3">
        <v>3.0000000000000003E-39</v>
      </c>
      <c r="F67">
        <v>29.29</v>
      </c>
      <c r="G67" t="str">
        <f>HYPERLINK("https://www.ncbi.nlm.nih.gov/nucleotide/XM_025683366.1?report=genbank&amp;log$=nucltop&amp;blast_rank=64&amp;RID=0RS9W66U013","XM_025683366.1")</f>
        <v>XM_025683366.1</v>
      </c>
    </row>
    <row r="68" spans="1:7" x14ac:dyDescent="0.35">
      <c r="A68" t="s">
        <v>63</v>
      </c>
      <c r="B68">
        <v>130</v>
      </c>
      <c r="C68">
        <v>130</v>
      </c>
      <c r="D68" s="2">
        <v>0.54</v>
      </c>
      <c r="E68" s="3">
        <v>1E-27</v>
      </c>
      <c r="F68">
        <v>29.27</v>
      </c>
      <c r="G68" t="str">
        <f>HYPERLINK("https://www.ncbi.nlm.nih.gov/nucleotide/XM_025640972.1?report=genbank&amp;log$=nucltop&amp;blast_rank=65&amp;RID=0RS9W66U013","XM_025640972.1")</f>
        <v>XM_025640972.1</v>
      </c>
    </row>
    <row r="69" spans="1:7" x14ac:dyDescent="0.35">
      <c r="A69" t="s">
        <v>85</v>
      </c>
      <c r="B69">
        <v>193</v>
      </c>
      <c r="C69">
        <v>193</v>
      </c>
      <c r="D69" s="2">
        <v>0.84</v>
      </c>
      <c r="E69" s="3">
        <v>4.9999999999999997E-50</v>
      </c>
      <c r="F69">
        <v>29.19</v>
      </c>
      <c r="G69" t="str">
        <f>HYPERLINK("https://www.ncbi.nlm.nih.gov/nucleotide/XM_002559523.1?report=genbank&amp;log$=nucltop&amp;blast_rank=66&amp;RID=0RS9W66U013","XM_002559523.1")</f>
        <v>XM_002559523.1</v>
      </c>
    </row>
    <row r="70" spans="1:7" x14ac:dyDescent="0.35">
      <c r="A70" t="s">
        <v>73</v>
      </c>
      <c r="B70">
        <v>122</v>
      </c>
      <c r="C70">
        <v>122</v>
      </c>
      <c r="D70" s="2">
        <v>0.55000000000000004</v>
      </c>
      <c r="E70" s="3">
        <v>1.9999999999999998E-24</v>
      </c>
      <c r="F70">
        <v>29.04</v>
      </c>
      <c r="G70" t="str">
        <f>HYPERLINK("https://www.ncbi.nlm.nih.gov/nucleotide/CP002439.1?report=genbank&amp;log$=nucltop&amp;blast_rank=67&amp;RID=0RS9W66U013","CP002439.1")</f>
        <v>CP002439.1</v>
      </c>
    </row>
    <row r="71" spans="1:7" x14ac:dyDescent="0.35">
      <c r="A71" t="s">
        <v>74</v>
      </c>
      <c r="B71">
        <v>122</v>
      </c>
      <c r="C71">
        <v>122</v>
      </c>
      <c r="D71" s="2">
        <v>0.55000000000000004</v>
      </c>
      <c r="E71" s="3">
        <v>1.9999999999999998E-24</v>
      </c>
      <c r="F71">
        <v>29.04</v>
      </c>
      <c r="G71" t="str">
        <f>HYPERLINK("https://www.ncbi.nlm.nih.gov/nucleotide/CP032682.1?report=genbank&amp;log$=nucltop&amp;blast_rank=68&amp;RID=0RS9W66U013","CP032682.1")</f>
        <v>CP032682.1</v>
      </c>
    </row>
    <row r="72" spans="1:7" x14ac:dyDescent="0.35">
      <c r="A72" t="s">
        <v>75</v>
      </c>
      <c r="B72">
        <v>122</v>
      </c>
      <c r="C72">
        <v>122</v>
      </c>
      <c r="D72" s="2">
        <v>0.55000000000000004</v>
      </c>
      <c r="E72" s="3">
        <v>1.9999999999999998E-24</v>
      </c>
      <c r="F72">
        <v>29.04</v>
      </c>
      <c r="G72" t="str">
        <f>HYPERLINK("https://www.ncbi.nlm.nih.gov/nucleotide/CP016073.1?report=genbank&amp;log$=nucltop&amp;blast_rank=69&amp;RID=0RS9W66U013","CP016073.1")</f>
        <v>CP016073.1</v>
      </c>
    </row>
    <row r="73" spans="1:7" x14ac:dyDescent="0.35">
      <c r="A73" t="s">
        <v>930</v>
      </c>
      <c r="B73">
        <v>122</v>
      </c>
      <c r="C73">
        <v>122</v>
      </c>
      <c r="D73" s="2">
        <v>0.55000000000000004</v>
      </c>
      <c r="E73" s="3">
        <v>1.9999999999999998E-24</v>
      </c>
      <c r="F73">
        <v>29.04</v>
      </c>
      <c r="G73" t="str">
        <f>HYPERLINK("https://www.ncbi.nlm.nih.gov/nucleotide/CP066715.1?report=genbank&amp;log$=nucltop&amp;blast_rank=70&amp;RID=0RS9W66U013","CP066715.1")</f>
        <v>CP066715.1</v>
      </c>
    </row>
    <row r="74" spans="1:7" x14ac:dyDescent="0.35">
      <c r="A74" t="s">
        <v>931</v>
      </c>
      <c r="B74">
        <v>122</v>
      </c>
      <c r="C74">
        <v>122</v>
      </c>
      <c r="D74" s="2">
        <v>0.55000000000000004</v>
      </c>
      <c r="E74" s="3">
        <v>1.9999999999999998E-24</v>
      </c>
      <c r="F74">
        <v>29.04</v>
      </c>
      <c r="G74" t="str">
        <f>HYPERLINK("https://www.ncbi.nlm.nih.gov/nucleotide/CP066714.1?report=genbank&amp;log$=nucltop&amp;blast_rank=71&amp;RID=0RS9W66U013","CP066714.1")</f>
        <v>CP066714.1</v>
      </c>
    </row>
    <row r="75" spans="1:7" x14ac:dyDescent="0.35">
      <c r="A75" t="s">
        <v>932</v>
      </c>
      <c r="B75">
        <v>122</v>
      </c>
      <c r="C75">
        <v>122</v>
      </c>
      <c r="D75" s="2">
        <v>0.55000000000000004</v>
      </c>
      <c r="E75" s="3">
        <v>1.9999999999999998E-24</v>
      </c>
      <c r="F75">
        <v>29.04</v>
      </c>
      <c r="G75" t="str">
        <f>HYPERLINK("https://www.ncbi.nlm.nih.gov/nucleotide/CP066292.1?report=genbank&amp;log$=nucltop&amp;blast_rank=72&amp;RID=0RS9W66U013","CP066292.1")</f>
        <v>CP066292.1</v>
      </c>
    </row>
    <row r="76" spans="1:7" x14ac:dyDescent="0.35">
      <c r="A76" t="s">
        <v>933</v>
      </c>
      <c r="B76">
        <v>122</v>
      </c>
      <c r="C76">
        <v>122</v>
      </c>
      <c r="D76" s="2">
        <v>0.55000000000000004</v>
      </c>
      <c r="E76" s="3">
        <v>1.9999999999999998E-24</v>
      </c>
      <c r="F76">
        <v>29.04</v>
      </c>
      <c r="G76" t="str">
        <f>HYPERLINK("https://www.ncbi.nlm.nih.gov/nucleotide/CP066717.1?report=genbank&amp;log$=nucltop&amp;blast_rank=73&amp;RID=0RS9W66U013","CP066717.1")</f>
        <v>CP066717.1</v>
      </c>
    </row>
    <row r="77" spans="1:7" x14ac:dyDescent="0.35">
      <c r="A77" t="s">
        <v>934</v>
      </c>
      <c r="B77">
        <v>122</v>
      </c>
      <c r="C77">
        <v>122</v>
      </c>
      <c r="D77" s="2">
        <v>0.55000000000000004</v>
      </c>
      <c r="E77" s="3">
        <v>1.9999999999999998E-24</v>
      </c>
      <c r="F77">
        <v>29.04</v>
      </c>
      <c r="G77" t="str">
        <f>HYPERLINK("https://www.ncbi.nlm.nih.gov/nucleotide/CP065998.1?report=genbank&amp;log$=nucltop&amp;blast_rank=74&amp;RID=0RS9W66U013","CP065998.1")</f>
        <v>CP065998.1</v>
      </c>
    </row>
    <row r="78" spans="1:7" x14ac:dyDescent="0.35">
      <c r="A78" t="s">
        <v>69</v>
      </c>
      <c r="B78">
        <v>165</v>
      </c>
      <c r="C78">
        <v>165</v>
      </c>
      <c r="D78" s="2">
        <v>0.85</v>
      </c>
      <c r="E78" s="3">
        <v>3.0000000000000002E-40</v>
      </c>
      <c r="F78">
        <v>29.01</v>
      </c>
      <c r="G78" t="str">
        <f>HYPERLINK("https://www.ncbi.nlm.nih.gov/nucleotide/XM_001401884.2?report=genbank&amp;log$=nucltop&amp;blast_rank=75&amp;RID=0RS9W66U013","XM_001401884.2")</f>
        <v>XM_001401884.2</v>
      </c>
    </row>
    <row r="79" spans="1:7" x14ac:dyDescent="0.35">
      <c r="A79" t="s">
        <v>72</v>
      </c>
      <c r="B79">
        <v>166</v>
      </c>
      <c r="C79">
        <v>166</v>
      </c>
      <c r="D79" s="2">
        <v>0.85</v>
      </c>
      <c r="E79" s="3">
        <v>7.0000000000000003E-40</v>
      </c>
      <c r="F79">
        <v>29.01</v>
      </c>
      <c r="G79" t="str">
        <f>HYPERLINK("https://www.ncbi.nlm.nih.gov/nucleotide/XM_025601684.1?report=genbank&amp;log$=nucltop&amp;blast_rank=76&amp;RID=0RS9W66U013","XM_025601684.1")</f>
        <v>XM_025601684.1</v>
      </c>
    </row>
    <row r="80" spans="1:7" x14ac:dyDescent="0.35">
      <c r="A80" t="s">
        <v>82</v>
      </c>
      <c r="B80">
        <v>126</v>
      </c>
      <c r="C80">
        <v>126</v>
      </c>
      <c r="D80" s="2">
        <v>0.62</v>
      </c>
      <c r="E80" s="3">
        <v>2.0000000000000001E-27</v>
      </c>
      <c r="F80">
        <v>29.01</v>
      </c>
      <c r="G80" t="str">
        <f>HYPERLINK("https://www.ncbi.nlm.nih.gov/nucleotide/XM_033601052.1?report=genbank&amp;log$=nucltop&amp;blast_rank=77&amp;RID=0RS9W66U013","XM_033601052.1")</f>
        <v>XM_033601052.1</v>
      </c>
    </row>
    <row r="81" spans="1:7" x14ac:dyDescent="0.35">
      <c r="A81" t="s">
        <v>67</v>
      </c>
      <c r="B81">
        <v>124</v>
      </c>
      <c r="C81">
        <v>124</v>
      </c>
      <c r="D81" s="2">
        <v>0.54</v>
      </c>
      <c r="E81" s="3">
        <v>1E-25</v>
      </c>
      <c r="F81">
        <v>29</v>
      </c>
      <c r="G81" t="str">
        <f>HYPERLINK("https://www.ncbi.nlm.nih.gov/nucleotide/XM_025589412.1?report=genbank&amp;log$=nucltop&amp;blast_rank=78&amp;RID=0RS9W66U013","XM_025589412.1")</f>
        <v>XM_025589412.1</v>
      </c>
    </row>
    <row r="82" spans="1:7" x14ac:dyDescent="0.35">
      <c r="A82" t="s">
        <v>81</v>
      </c>
      <c r="B82">
        <v>136</v>
      </c>
      <c r="C82">
        <v>136</v>
      </c>
      <c r="D82" s="2">
        <v>0.65</v>
      </c>
      <c r="E82" s="3">
        <v>2.0000000000000002E-30</v>
      </c>
      <c r="F82">
        <v>28.96</v>
      </c>
      <c r="G82" t="str">
        <f>HYPERLINK("https://www.ncbi.nlm.nih.gov/nucleotide/XM_011327711.1?report=genbank&amp;log$=nucltop&amp;blast_rank=79&amp;RID=0RS9W66U013","XM_011327711.1")</f>
        <v>XM_011327711.1</v>
      </c>
    </row>
    <row r="83" spans="1:7" x14ac:dyDescent="0.35">
      <c r="A83" t="s">
        <v>77</v>
      </c>
      <c r="B83">
        <v>131</v>
      </c>
      <c r="C83">
        <v>131</v>
      </c>
      <c r="D83" s="2">
        <v>0.61</v>
      </c>
      <c r="E83" s="3">
        <v>6.0000000000000001E-28</v>
      </c>
      <c r="F83">
        <v>28.86</v>
      </c>
      <c r="G83" t="str">
        <f>HYPERLINK("https://www.ncbi.nlm.nih.gov/nucleotide/XM_025680603.1?report=genbank&amp;log$=nucltop&amp;blast_rank=80&amp;RID=0RS9W66U013","XM_025680603.1")</f>
        <v>XM_025680603.1</v>
      </c>
    </row>
    <row r="84" spans="1:7" x14ac:dyDescent="0.35">
      <c r="A84" t="s">
        <v>70</v>
      </c>
      <c r="B84">
        <v>121</v>
      </c>
      <c r="C84">
        <v>121</v>
      </c>
      <c r="D84" s="2">
        <v>0.52</v>
      </c>
      <c r="E84" s="3">
        <v>9.0000000000000002E-25</v>
      </c>
      <c r="F84">
        <v>28.57</v>
      </c>
      <c r="G84" t="str">
        <f>HYPERLINK("https://www.ncbi.nlm.nih.gov/nucleotide/XM_020201213.1?report=genbank&amp;log$=nucltop&amp;blast_rank=81&amp;RID=0RS9W66U013","XM_020201213.1")</f>
        <v>XM_020201213.1</v>
      </c>
    </row>
    <row r="85" spans="1:7" x14ac:dyDescent="0.35">
      <c r="A85" s="4" t="s">
        <v>66</v>
      </c>
      <c r="B85" s="4">
        <v>169</v>
      </c>
      <c r="C85" s="4">
        <v>169</v>
      </c>
      <c r="D85" s="5">
        <v>0.85</v>
      </c>
      <c r="E85" s="6">
        <v>2E-41</v>
      </c>
      <c r="F85" s="4">
        <v>28.39</v>
      </c>
      <c r="G85" s="4" t="str">
        <f>HYPERLINK("https://www.ncbi.nlm.nih.gov/nucleotide/XM_035498118.1?report=genbank&amp;log$=nucltop&amp;blast_rank=82&amp;RID=0RS9W66U013","XM_035498118.1")</f>
        <v>XM_035498118.1</v>
      </c>
    </row>
    <row r="86" spans="1:7" x14ac:dyDescent="0.35">
      <c r="A86" t="s">
        <v>743</v>
      </c>
      <c r="B86">
        <v>135</v>
      </c>
      <c r="C86">
        <v>169</v>
      </c>
      <c r="D86" s="2">
        <v>0.66</v>
      </c>
      <c r="E86" s="3">
        <v>2.0000000000000002E-31</v>
      </c>
      <c r="F86">
        <v>28.37</v>
      </c>
      <c r="G86" t="str">
        <f>HYPERLINK("https://www.ncbi.nlm.nih.gov/nucleotide/CP066504.1?report=genbank&amp;log$=nucltop&amp;blast_rank=83&amp;RID=0RS9W66U013","CP066504.1")</f>
        <v>CP066504.1</v>
      </c>
    </row>
    <row r="87" spans="1:7" x14ac:dyDescent="0.35">
      <c r="A87" t="s">
        <v>86</v>
      </c>
      <c r="B87">
        <v>147</v>
      </c>
      <c r="C87">
        <v>179</v>
      </c>
      <c r="D87" s="2">
        <v>0.64</v>
      </c>
      <c r="E87" s="3">
        <v>9.0000000000000002E-35</v>
      </c>
      <c r="F87">
        <v>28.33</v>
      </c>
      <c r="G87" t="str">
        <f>HYPERLINK("https://www.ncbi.nlm.nih.gov/nucleotide/AM920428.1?report=genbank&amp;log$=nucltop&amp;blast_rank=84&amp;RID=0RS9W66U013","AM920428.1")</f>
        <v>AM920428.1</v>
      </c>
    </row>
    <row r="88" spans="1:7" x14ac:dyDescent="0.35">
      <c r="A88" s="4" t="s">
        <v>87</v>
      </c>
      <c r="B88" s="4">
        <v>144</v>
      </c>
      <c r="C88" s="4">
        <v>144</v>
      </c>
      <c r="D88" s="5">
        <v>0.69</v>
      </c>
      <c r="E88" s="6">
        <v>5.0000000000000004E-32</v>
      </c>
      <c r="F88" s="4">
        <v>28.31</v>
      </c>
      <c r="G88" s="4" t="str">
        <f>HYPERLINK("https://www.ncbi.nlm.nih.gov/nucleotide/XM_007819030.2?report=genbank&amp;log$=nucltop&amp;blast_rank=85&amp;RID=0RS9W66U013","XM_007819030.2")</f>
        <v>XM_007819030.2</v>
      </c>
    </row>
    <row r="89" spans="1:7" x14ac:dyDescent="0.35">
      <c r="A89" t="s">
        <v>76</v>
      </c>
      <c r="B89">
        <v>149</v>
      </c>
      <c r="C89">
        <v>149</v>
      </c>
      <c r="D89" s="2">
        <v>0.69</v>
      </c>
      <c r="E89" s="3">
        <v>5.0000000000000003E-34</v>
      </c>
      <c r="F89">
        <v>28.29</v>
      </c>
      <c r="G89" t="str">
        <f>HYPERLINK("https://www.ncbi.nlm.nih.gov/nucleotide/XM_026762387.1?report=genbank&amp;log$=nucltop&amp;blast_rank=86&amp;RID=0RS9W66U013","XM_026762387.1")</f>
        <v>XM_026762387.1</v>
      </c>
    </row>
    <row r="90" spans="1:7" x14ac:dyDescent="0.35">
      <c r="A90" t="s">
        <v>84</v>
      </c>
      <c r="B90">
        <v>165</v>
      </c>
      <c r="C90">
        <v>165</v>
      </c>
      <c r="D90" s="2">
        <v>0.73</v>
      </c>
      <c r="E90" s="3">
        <v>6.0000000000000004E-40</v>
      </c>
      <c r="F90">
        <v>28.18</v>
      </c>
      <c r="G90" t="str">
        <f>HYPERLINK("https://www.ncbi.nlm.nih.gov/nucleotide/XM_023599633.1?report=genbank&amp;log$=nucltop&amp;blast_rank=87&amp;RID=0RS9W66U013","XM_023599633.1")</f>
        <v>XM_023599633.1</v>
      </c>
    </row>
    <row r="91" spans="1:7" x14ac:dyDescent="0.35">
      <c r="A91" t="s">
        <v>80</v>
      </c>
      <c r="B91">
        <v>172</v>
      </c>
      <c r="C91">
        <v>172</v>
      </c>
      <c r="D91" s="2">
        <v>0.9</v>
      </c>
      <c r="E91" s="3">
        <v>5E-42</v>
      </c>
      <c r="F91">
        <v>28.07</v>
      </c>
      <c r="G91" t="str">
        <f>HYPERLINK("https://www.ncbi.nlm.nih.gov/nucleotide/XM_025662501.1?report=genbank&amp;log$=nucltop&amp;blast_rank=88&amp;RID=0RS9W66U013","XM_025662501.1")</f>
        <v>XM_025662501.1</v>
      </c>
    </row>
    <row r="92" spans="1:7" x14ac:dyDescent="0.35">
      <c r="A92" t="s">
        <v>91</v>
      </c>
      <c r="B92">
        <v>141</v>
      </c>
      <c r="C92">
        <v>141</v>
      </c>
      <c r="D92" s="2">
        <v>0.62</v>
      </c>
      <c r="E92" s="3">
        <v>1.0000000000000001E-30</v>
      </c>
      <c r="F92">
        <v>27.93</v>
      </c>
      <c r="G92" t="str">
        <f>HYPERLINK("https://www.ncbi.nlm.nih.gov/nucleotide/CP051096.1?report=genbank&amp;log$=nucltop&amp;blast_rank=89&amp;RID=0RS9W66U013","CP051096.1")</f>
        <v>CP051096.1</v>
      </c>
    </row>
    <row r="93" spans="1:7" x14ac:dyDescent="0.35">
      <c r="A93" t="s">
        <v>92</v>
      </c>
      <c r="B93">
        <v>141</v>
      </c>
      <c r="C93">
        <v>141</v>
      </c>
      <c r="D93" s="2">
        <v>0.62</v>
      </c>
      <c r="E93" s="3">
        <v>1.0000000000000001E-30</v>
      </c>
      <c r="F93">
        <v>27.93</v>
      </c>
      <c r="G93" t="str">
        <f>HYPERLINK("https://www.ncbi.nlm.nih.gov/nucleotide/CP051080.1?report=genbank&amp;log$=nucltop&amp;blast_rank=90&amp;RID=0RS9W66U013","CP051080.1")</f>
        <v>CP051080.1</v>
      </c>
    </row>
    <row r="94" spans="1:7" x14ac:dyDescent="0.35">
      <c r="A94" t="s">
        <v>93</v>
      </c>
      <c r="B94">
        <v>141</v>
      </c>
      <c r="C94">
        <v>141</v>
      </c>
      <c r="D94" s="2">
        <v>0.62</v>
      </c>
      <c r="E94" s="3">
        <v>1.0000000000000001E-30</v>
      </c>
      <c r="F94">
        <v>27.93</v>
      </c>
      <c r="G94" t="str">
        <f>HYPERLINK("https://www.ncbi.nlm.nih.gov/nucleotide/CP051024.1?report=genbank&amp;log$=nucltop&amp;blast_rank=91&amp;RID=0RS9W66U013","CP051024.1")</f>
        <v>CP051024.1</v>
      </c>
    </row>
    <row r="95" spans="1:7" x14ac:dyDescent="0.35">
      <c r="A95" t="s">
        <v>94</v>
      </c>
      <c r="B95">
        <v>141</v>
      </c>
      <c r="C95">
        <v>141</v>
      </c>
      <c r="D95" s="2">
        <v>0.62</v>
      </c>
      <c r="E95" s="3">
        <v>1.0000000000000001E-30</v>
      </c>
      <c r="F95">
        <v>27.93</v>
      </c>
      <c r="G95" t="str">
        <f>HYPERLINK("https://www.ncbi.nlm.nih.gov/nucleotide/CP051064.1?report=genbank&amp;log$=nucltop&amp;blast_rank=92&amp;RID=0RS9W66U013","CP051064.1")</f>
        <v>CP051064.1</v>
      </c>
    </row>
    <row r="96" spans="1:7" x14ac:dyDescent="0.35">
      <c r="A96" t="s">
        <v>95</v>
      </c>
      <c r="B96">
        <v>141</v>
      </c>
      <c r="C96">
        <v>141</v>
      </c>
      <c r="D96" s="2">
        <v>0.62</v>
      </c>
      <c r="E96" s="3">
        <v>1.0000000000000001E-30</v>
      </c>
      <c r="F96">
        <v>27.93</v>
      </c>
      <c r="G96" t="str">
        <f>HYPERLINK("https://www.ncbi.nlm.nih.gov/nucleotide/CP051074.1?report=genbank&amp;log$=nucltop&amp;blast_rank=93&amp;RID=0RS9W66U013","CP051074.1")</f>
        <v>CP051074.1</v>
      </c>
    </row>
    <row r="97" spans="1:7" x14ac:dyDescent="0.35">
      <c r="A97" t="s">
        <v>89</v>
      </c>
      <c r="B97">
        <v>142</v>
      </c>
      <c r="C97">
        <v>142</v>
      </c>
      <c r="D97" s="2">
        <v>0.65</v>
      </c>
      <c r="E97" s="3">
        <v>2.0000000000000002E-31</v>
      </c>
      <c r="F97">
        <v>27.8</v>
      </c>
      <c r="G97" t="str">
        <f>HYPERLINK("https://www.ncbi.nlm.nih.gov/nucleotide/XM_024828224.1?report=genbank&amp;log$=nucltop&amp;blast_rank=94&amp;RID=0RS9W66U013","XM_024828224.1")</f>
        <v>XM_024828224.1</v>
      </c>
    </row>
    <row r="98" spans="1:7" x14ac:dyDescent="0.35">
      <c r="A98" s="4" t="s">
        <v>99</v>
      </c>
      <c r="B98" s="4">
        <v>140</v>
      </c>
      <c r="C98" s="4">
        <v>140</v>
      </c>
      <c r="D98" s="5">
        <v>0.67</v>
      </c>
      <c r="E98" s="6">
        <v>2.0000000000000002E-30</v>
      </c>
      <c r="F98" s="4">
        <v>27.55</v>
      </c>
      <c r="G98" s="4" t="str">
        <f>HYPERLINK("https://www.ncbi.nlm.nih.gov/nucleotide/XM_014687487.1?report=genbank&amp;log$=nucltop&amp;blast_rank=95&amp;RID=0RS9W66U013","XM_014687487.1")</f>
        <v>XM_014687487.1</v>
      </c>
    </row>
    <row r="99" spans="1:7" x14ac:dyDescent="0.35">
      <c r="A99" t="s">
        <v>98</v>
      </c>
      <c r="B99">
        <v>137</v>
      </c>
      <c r="C99">
        <v>273</v>
      </c>
      <c r="D99" s="2">
        <v>0.74</v>
      </c>
      <c r="E99" s="3">
        <v>9.9999999999999994E-30</v>
      </c>
      <c r="F99">
        <v>27.48</v>
      </c>
      <c r="G99" t="str">
        <f>HYPERLINK("https://www.ncbi.nlm.nih.gov/nucleotide/XM_026749516.1?report=genbank&amp;log$=nucltop&amp;blast_rank=96&amp;RID=0RS9W66U013","XM_026749516.1")</f>
        <v>XM_026749516.1</v>
      </c>
    </row>
    <row r="100" spans="1:7" x14ac:dyDescent="0.35">
      <c r="A100" t="s">
        <v>96</v>
      </c>
      <c r="B100">
        <v>141</v>
      </c>
      <c r="C100">
        <v>141</v>
      </c>
      <c r="D100" s="2">
        <v>0.85</v>
      </c>
      <c r="E100" s="3">
        <v>4.0000000000000003E-31</v>
      </c>
      <c r="F100">
        <v>26.94</v>
      </c>
      <c r="G100" t="str">
        <f>HYPERLINK("https://www.ncbi.nlm.nih.gov/nucleotide/XM_026772820.1?report=genbank&amp;log$=nucltop&amp;blast_rank=97&amp;RID=0RS9W66U013","XM_026772820.1")</f>
        <v>XM_026772820.1</v>
      </c>
    </row>
    <row r="101" spans="1:7" x14ac:dyDescent="0.35">
      <c r="A101" t="s">
        <v>97</v>
      </c>
      <c r="B101">
        <v>141</v>
      </c>
      <c r="C101">
        <v>141</v>
      </c>
      <c r="D101" s="2">
        <v>0.69</v>
      </c>
      <c r="E101" s="3">
        <v>2.0000000000000002E-31</v>
      </c>
      <c r="F101">
        <v>26.43</v>
      </c>
      <c r="G101" t="str">
        <f>HYPERLINK("https://www.ncbi.nlm.nih.gov/nucleotide/XM_035484606.1?report=genbank&amp;log$=nucltop&amp;blast_rank=98&amp;RID=0RS9W66U013","XM_035484606.1")</f>
        <v>XM_035484606.1</v>
      </c>
    </row>
    <row r="102" spans="1:7" x14ac:dyDescent="0.35">
      <c r="A102" t="s">
        <v>101</v>
      </c>
      <c r="B102">
        <v>131</v>
      </c>
      <c r="C102">
        <v>131</v>
      </c>
      <c r="D102" s="2">
        <v>0.68</v>
      </c>
      <c r="E102" s="3">
        <v>7.9999999999999995E-29</v>
      </c>
      <c r="F102">
        <v>26.2</v>
      </c>
      <c r="G102" t="str">
        <f>HYPERLINK("https://www.ncbi.nlm.nih.gov/nucleotide/XM_023596533.1?report=genbank&amp;log$=nucltop&amp;blast_rank=99&amp;RID=0RS9W66U013","XM_023596533.1")</f>
        <v>XM_023596533.1</v>
      </c>
    </row>
    <row r="103" spans="1:7" x14ac:dyDescent="0.35">
      <c r="A103" t="s">
        <v>105</v>
      </c>
      <c r="B103">
        <v>137</v>
      </c>
      <c r="C103">
        <v>137</v>
      </c>
      <c r="D103" s="2">
        <v>0.72</v>
      </c>
      <c r="E103" s="3">
        <v>8.0000000000000007E-30</v>
      </c>
      <c r="F103">
        <v>25.16</v>
      </c>
      <c r="G103" t="str">
        <f>HYPERLINK("https://www.ncbi.nlm.nih.gov/nucleotide/XM_033555780.1?report=genbank&amp;log$=nucltop&amp;blast_rank=100&amp;RID=0RS9W66U013","XM_033555780.1")</f>
        <v>XM_033555780.1</v>
      </c>
    </row>
    <row r="104" spans="1:7" x14ac:dyDescent="0.35">
      <c r="A104" s="1" t="s">
        <v>935</v>
      </c>
    </row>
    <row r="105" spans="1:7" x14ac:dyDescent="0.35">
      <c r="A105" s="1" t="s">
        <v>2</v>
      </c>
      <c r="B105" s="1" t="s">
        <v>3</v>
      </c>
      <c r="C105" s="1" t="s">
        <v>4</v>
      </c>
      <c r="D105" s="1" t="s">
        <v>5</v>
      </c>
      <c r="E105" s="1" t="s">
        <v>6</v>
      </c>
      <c r="F105" s="1" t="s">
        <v>7</v>
      </c>
      <c r="G105" s="1" t="s">
        <v>8</v>
      </c>
    </row>
    <row r="106" spans="1:7" x14ac:dyDescent="0.35">
      <c r="A106" t="s">
        <v>107</v>
      </c>
      <c r="B106">
        <v>170</v>
      </c>
      <c r="C106">
        <v>216</v>
      </c>
      <c r="D106" s="2">
        <v>0.38</v>
      </c>
      <c r="E106" s="3">
        <v>9E-46</v>
      </c>
      <c r="F106">
        <v>67.92</v>
      </c>
      <c r="G106" t="str">
        <f>HYPERLINK("https://www.ncbi.nlm.nih.gov/nucleotide/CP019380.1?report=genbank&amp;log$=nucltop&amp;blast_rank=1&amp;RID=0RSCT1BR013","CP019380.1")</f>
        <v>CP019380.1</v>
      </c>
    </row>
    <row r="107" spans="1:7" x14ac:dyDescent="0.35">
      <c r="A107" t="s">
        <v>9</v>
      </c>
      <c r="B107">
        <v>593</v>
      </c>
      <c r="C107">
        <v>593</v>
      </c>
      <c r="D107" s="2">
        <v>0.99</v>
      </c>
      <c r="E107">
        <v>0</v>
      </c>
      <c r="F107">
        <v>61.9</v>
      </c>
      <c r="G107" t="str">
        <f>HYPERLINK("https://www.ncbi.nlm.nih.gov/nucleotide/LR732079.1?report=genbank&amp;log$=nucltop&amp;blast_rank=2&amp;RID=0RSCT1BR013","LR732079.1")</f>
        <v>LR732079.1</v>
      </c>
    </row>
    <row r="108" spans="1:7" x14ac:dyDescent="0.35">
      <c r="A108" t="s">
        <v>108</v>
      </c>
      <c r="B108">
        <v>189</v>
      </c>
      <c r="C108">
        <v>189</v>
      </c>
      <c r="D108" s="2">
        <v>0.25</v>
      </c>
      <c r="E108" s="3">
        <v>2.0000000000000001E-54</v>
      </c>
      <c r="F108">
        <v>61.54</v>
      </c>
      <c r="G108" t="str">
        <f>HYPERLINK("https://www.ncbi.nlm.nih.gov/nucleotide/XM_024486644.1?report=genbank&amp;log$=nucltop&amp;blast_rank=3&amp;RID=0RSCT1BR013","XM_024486644.1")</f>
        <v>XM_024486644.1</v>
      </c>
    </row>
    <row r="109" spans="1:7" x14ac:dyDescent="0.35">
      <c r="A109" t="s">
        <v>109</v>
      </c>
      <c r="B109">
        <v>187</v>
      </c>
      <c r="C109">
        <v>187</v>
      </c>
      <c r="D109" s="2">
        <v>0.26</v>
      </c>
      <c r="E109" s="3">
        <v>2.0000000000000001E-53</v>
      </c>
      <c r="F109">
        <v>60.74</v>
      </c>
      <c r="G109" t="str">
        <f>HYPERLINK("https://www.ncbi.nlm.nih.gov/nucleotide/XM_007870492.1?report=genbank&amp;log$=nucltop&amp;blast_rank=4&amp;RID=0RSCT1BR013","XM_007870492.1")</f>
        <v>XM_007870492.1</v>
      </c>
    </row>
    <row r="110" spans="1:7" x14ac:dyDescent="0.35">
      <c r="A110" t="s">
        <v>19</v>
      </c>
      <c r="B110">
        <v>214</v>
      </c>
      <c r="C110">
        <v>214</v>
      </c>
      <c r="D110" s="2">
        <v>0.35</v>
      </c>
      <c r="E110" s="3">
        <v>1E-59</v>
      </c>
      <c r="F110">
        <v>58.66</v>
      </c>
      <c r="G110" t="str">
        <f>HYPERLINK("https://www.ncbi.nlm.nih.gov/nucleotide/XM_001880888.1?report=genbank&amp;log$=nucltop&amp;blast_rank=5&amp;RID=0RSCT1BR013","XM_001880888.1")</f>
        <v>XM_001880888.1</v>
      </c>
    </row>
    <row r="111" spans="1:7" x14ac:dyDescent="0.35">
      <c r="A111" t="s">
        <v>110</v>
      </c>
      <c r="B111">
        <v>214</v>
      </c>
      <c r="C111">
        <v>214</v>
      </c>
      <c r="D111" s="2">
        <v>0.34</v>
      </c>
      <c r="E111" s="3">
        <v>4.0000000000000002E-62</v>
      </c>
      <c r="F111">
        <v>58.52</v>
      </c>
      <c r="G111" t="str">
        <f>HYPERLINK("https://www.ncbi.nlm.nih.gov/nucleotide/XM_003033916.1?report=genbank&amp;log$=nucltop&amp;blast_rank=6&amp;RID=0RSCT1BR013","XM_003033916.1")</f>
        <v>XM_003033916.1</v>
      </c>
    </row>
    <row r="112" spans="1:7" x14ac:dyDescent="0.35">
      <c r="A112" t="s">
        <v>21</v>
      </c>
      <c r="B112">
        <v>176</v>
      </c>
      <c r="C112">
        <v>176</v>
      </c>
      <c r="D112" s="2">
        <v>0.25</v>
      </c>
      <c r="E112" s="3">
        <v>1.9999999999999999E-49</v>
      </c>
      <c r="F112">
        <v>58.14</v>
      </c>
      <c r="G112" t="str">
        <f>HYPERLINK("https://www.ncbi.nlm.nih.gov/nucleotide/XM_009546988.1?report=genbank&amp;log$=nucltop&amp;blast_rank=7&amp;RID=0RSCT1BR013","XM_009546988.1")</f>
        <v>XM_009546988.1</v>
      </c>
    </row>
    <row r="113" spans="1:7" x14ac:dyDescent="0.35">
      <c r="A113" t="s">
        <v>112</v>
      </c>
      <c r="B113">
        <v>172</v>
      </c>
      <c r="C113">
        <v>172</v>
      </c>
      <c r="D113" s="2">
        <v>0.24</v>
      </c>
      <c r="E113" s="3">
        <v>3.0000000000000002E-47</v>
      </c>
      <c r="F113">
        <v>58.04</v>
      </c>
      <c r="G113" t="str">
        <f>HYPERLINK("https://www.ncbi.nlm.nih.gov/nucleotide/XM_007393520.1?report=genbank&amp;log$=nucltop&amp;blast_rank=8&amp;RID=0RSCT1BR013","XM_007393520.1")</f>
        <v>XM_007393520.1</v>
      </c>
    </row>
    <row r="114" spans="1:7" x14ac:dyDescent="0.35">
      <c r="A114" t="s">
        <v>111</v>
      </c>
      <c r="B114">
        <v>224</v>
      </c>
      <c r="C114">
        <v>224</v>
      </c>
      <c r="D114" s="2">
        <v>0.37</v>
      </c>
      <c r="E114" s="3">
        <v>3.0000000000000002E-66</v>
      </c>
      <c r="F114">
        <v>57.45</v>
      </c>
      <c r="G114" t="str">
        <f>HYPERLINK("https://www.ncbi.nlm.nih.gov/nucleotide/XM_007330300.1?report=genbank&amp;log$=nucltop&amp;blast_rank=9&amp;RID=0RSCT1BR013","XM_007330300.1")</f>
        <v>XM_007330300.1</v>
      </c>
    </row>
    <row r="115" spans="1:7" x14ac:dyDescent="0.35">
      <c r="A115" t="s">
        <v>113</v>
      </c>
      <c r="B115">
        <v>192</v>
      </c>
      <c r="C115">
        <v>192</v>
      </c>
      <c r="D115" s="2">
        <v>0.34</v>
      </c>
      <c r="E115" s="3">
        <v>4E-55</v>
      </c>
      <c r="F115">
        <v>55.68</v>
      </c>
      <c r="G115" t="str">
        <f>HYPERLINK("https://www.ncbi.nlm.nih.gov/nucleotide/XM_008041408.1?report=genbank&amp;log$=nucltop&amp;blast_rank=10&amp;RID=0RSCT1BR013","XM_008041408.1")</f>
        <v>XM_008041408.1</v>
      </c>
    </row>
    <row r="116" spans="1:7" x14ac:dyDescent="0.35">
      <c r="A116" s="4" t="s">
        <v>114</v>
      </c>
      <c r="B116" s="4">
        <v>196</v>
      </c>
      <c r="C116" s="4">
        <v>196</v>
      </c>
      <c r="D116" s="5">
        <v>0.33</v>
      </c>
      <c r="E116" s="6">
        <v>7.0000000000000001E-52</v>
      </c>
      <c r="F116" s="4">
        <v>55.56</v>
      </c>
      <c r="G116" s="4" t="str">
        <f>HYPERLINK("https://www.ncbi.nlm.nih.gov/nucleotide/LR724670.1?report=genbank&amp;log$=nucltop&amp;blast_rank=11&amp;RID=0RSCT1BR013","LR724670.1")</f>
        <v>LR724670.1</v>
      </c>
    </row>
    <row r="117" spans="1:7" x14ac:dyDescent="0.35">
      <c r="A117" t="s">
        <v>116</v>
      </c>
      <c r="B117">
        <v>196</v>
      </c>
      <c r="C117">
        <v>196</v>
      </c>
      <c r="D117" s="2">
        <v>0.33</v>
      </c>
      <c r="E117" s="3">
        <v>2E-51</v>
      </c>
      <c r="F117">
        <v>54.39</v>
      </c>
      <c r="G117" t="str">
        <f>HYPERLINK("https://www.ncbi.nlm.nih.gov/nucleotide/XM_007299403.1?report=genbank&amp;log$=nucltop&amp;blast_rank=12&amp;RID=0RSCT1BR013","XM_007299403.1")</f>
        <v>XM_007299403.1</v>
      </c>
    </row>
    <row r="118" spans="1:7" x14ac:dyDescent="0.35">
      <c r="A118" s="4" t="s">
        <v>117</v>
      </c>
      <c r="B118" s="4">
        <v>197</v>
      </c>
      <c r="C118" s="4">
        <v>197</v>
      </c>
      <c r="D118" s="5">
        <v>0.34</v>
      </c>
      <c r="E118" s="6">
        <v>2E-52</v>
      </c>
      <c r="F118" s="4">
        <v>53.93</v>
      </c>
      <c r="G118" s="4" t="str">
        <f>HYPERLINK("https://www.ncbi.nlm.nih.gov/nucleotide/XM_037359091.1?report=genbank&amp;log$=nucltop&amp;blast_rank=13&amp;RID=0RSCT1BR013","XM_037359091.1")</f>
        <v>XM_037359091.1</v>
      </c>
    </row>
    <row r="119" spans="1:7" x14ac:dyDescent="0.35">
      <c r="A119" t="s">
        <v>115</v>
      </c>
      <c r="B119">
        <v>192</v>
      </c>
      <c r="C119">
        <v>192</v>
      </c>
      <c r="D119" s="2">
        <v>0.33</v>
      </c>
      <c r="E119" s="3">
        <v>6.0000000000000003E-55</v>
      </c>
      <c r="F119">
        <v>52.63</v>
      </c>
      <c r="G119" t="str">
        <f>HYPERLINK("https://www.ncbi.nlm.nih.gov/nucleotide/XM_007388990.1?report=genbank&amp;log$=nucltop&amp;blast_rank=14&amp;RID=0RSCT1BR013","XM_007388990.1")</f>
        <v>XM_007388990.1</v>
      </c>
    </row>
    <row r="120" spans="1:7" x14ac:dyDescent="0.35">
      <c r="A120" t="s">
        <v>118</v>
      </c>
      <c r="B120">
        <v>228</v>
      </c>
      <c r="C120">
        <v>228</v>
      </c>
      <c r="D120" s="2">
        <v>0.45</v>
      </c>
      <c r="E120" s="3">
        <v>9.9999999999999997E-65</v>
      </c>
      <c r="F120">
        <v>52.16</v>
      </c>
      <c r="G120" t="str">
        <f>HYPERLINK("https://www.ncbi.nlm.nih.gov/nucleotide/XM_006459160.1?report=genbank&amp;log$=nucltop&amp;blast_rank=15&amp;RID=0RSCT1BR013","XM_006459160.1")</f>
        <v>XM_006459160.1</v>
      </c>
    </row>
    <row r="121" spans="1:7" x14ac:dyDescent="0.35">
      <c r="A121" s="4" t="s">
        <v>119</v>
      </c>
      <c r="B121" s="4">
        <v>196</v>
      </c>
      <c r="C121" s="4">
        <v>196</v>
      </c>
      <c r="D121" s="5">
        <v>0.4</v>
      </c>
      <c r="E121" s="6">
        <v>5.9999999999999998E-50</v>
      </c>
      <c r="F121" s="4">
        <v>50.24</v>
      </c>
      <c r="G121" s="4" t="str">
        <f>HYPERLINK("https://www.ncbi.nlm.nih.gov/nucleotide/XM_027763465.1?report=genbank&amp;log$=nucltop&amp;blast_rank=16&amp;RID=0RSCT1BR013","XM_027763465.1")</f>
        <v>XM_027763465.1</v>
      </c>
    </row>
    <row r="122" spans="1:7" x14ac:dyDescent="0.35">
      <c r="A122" t="s">
        <v>137</v>
      </c>
      <c r="B122">
        <v>231</v>
      </c>
      <c r="C122">
        <v>231</v>
      </c>
      <c r="D122" s="2">
        <v>0.49</v>
      </c>
      <c r="E122" s="3">
        <v>1.9999999999999998E-65</v>
      </c>
      <c r="F122">
        <v>49.81</v>
      </c>
      <c r="G122" t="str">
        <f>HYPERLINK("https://www.ncbi.nlm.nih.gov/nucleotide/XM_001836370.2?report=genbank&amp;log$=nucltop&amp;blast_rank=17&amp;RID=0RSCT1BR013","XM_001836370.2")</f>
        <v>XM_001836370.2</v>
      </c>
    </row>
    <row r="123" spans="1:7" x14ac:dyDescent="0.35">
      <c r="A123" t="s">
        <v>742</v>
      </c>
      <c r="B123">
        <v>217</v>
      </c>
      <c r="C123">
        <v>217</v>
      </c>
      <c r="D123" s="2">
        <v>0.5</v>
      </c>
      <c r="E123" s="3">
        <v>3.0000000000000002E-60</v>
      </c>
      <c r="F123">
        <v>48.33</v>
      </c>
      <c r="G123" t="str">
        <f>HYPERLINK("https://www.ncbi.nlm.nih.gov/nucleotide/XM_036779061.1?report=genbank&amp;log$=nucltop&amp;blast_rank=18&amp;RID=0RSCT1BR013","XM_036779061.1")</f>
        <v>XM_036779061.1</v>
      </c>
    </row>
    <row r="124" spans="1:7" x14ac:dyDescent="0.35">
      <c r="A124" t="s">
        <v>17</v>
      </c>
      <c r="B124">
        <v>207</v>
      </c>
      <c r="C124">
        <v>207</v>
      </c>
      <c r="D124" s="2">
        <v>0.45</v>
      </c>
      <c r="E124" s="3">
        <v>8.0000000000000002E-54</v>
      </c>
      <c r="F124">
        <v>45.83</v>
      </c>
      <c r="G124" t="str">
        <f>HYPERLINK("https://www.ncbi.nlm.nih.gov/nucleotide/CP015461.1?report=genbank&amp;log$=nucltop&amp;blast_rank=19&amp;RID=0RSCT1BR013","CP015461.1")</f>
        <v>CP015461.1</v>
      </c>
    </row>
    <row r="125" spans="1:7" x14ac:dyDescent="0.35">
      <c r="A125" t="s">
        <v>18</v>
      </c>
      <c r="B125">
        <v>207</v>
      </c>
      <c r="C125">
        <v>207</v>
      </c>
      <c r="D125" s="2">
        <v>0.45</v>
      </c>
      <c r="E125" s="3">
        <v>1E-53</v>
      </c>
      <c r="F125">
        <v>45.83</v>
      </c>
      <c r="G125" t="str">
        <f>HYPERLINK("https://www.ncbi.nlm.nih.gov/nucleotide/CP015474.1?report=genbank&amp;log$=nucltop&amp;blast_rank=20&amp;RID=0RSCT1BR013","CP015474.1")</f>
        <v>CP015474.1</v>
      </c>
    </row>
    <row r="126" spans="1:7" x14ac:dyDescent="0.35">
      <c r="A126" t="s">
        <v>16</v>
      </c>
      <c r="B126">
        <v>207</v>
      </c>
      <c r="C126">
        <v>207</v>
      </c>
      <c r="D126" s="2">
        <v>0.45</v>
      </c>
      <c r="E126" s="3">
        <v>1E-53</v>
      </c>
      <c r="F126">
        <v>45.83</v>
      </c>
      <c r="G126" t="str">
        <f>HYPERLINK("https://www.ncbi.nlm.nih.gov/nucleotide/CP039877.1?report=genbank&amp;log$=nucltop&amp;blast_rank=21&amp;RID=0RSCT1BR013","CP039877.1")</f>
        <v>CP039877.1</v>
      </c>
    </row>
    <row r="127" spans="1:7" x14ac:dyDescent="0.35">
      <c r="A127" t="s">
        <v>121</v>
      </c>
      <c r="B127">
        <v>164</v>
      </c>
      <c r="C127">
        <v>164</v>
      </c>
      <c r="D127" s="2">
        <v>0.33</v>
      </c>
      <c r="E127" s="3">
        <v>3.9999999999999998E-44</v>
      </c>
      <c r="F127">
        <v>44.77</v>
      </c>
      <c r="G127" t="str">
        <f>HYPERLINK("https://www.ncbi.nlm.nih.gov/nucleotide/XM_007263292.1?report=genbank&amp;log$=nucltop&amp;blast_rank=22&amp;RID=0RSCT1BR013","XM_007263292.1")</f>
        <v>XM_007263292.1</v>
      </c>
    </row>
    <row r="128" spans="1:7" x14ac:dyDescent="0.35">
      <c r="A128" t="s">
        <v>122</v>
      </c>
      <c r="B128">
        <v>197</v>
      </c>
      <c r="C128">
        <v>197</v>
      </c>
      <c r="D128" s="2">
        <v>0.49</v>
      </c>
      <c r="E128" s="3">
        <v>9.0000000000000001E-52</v>
      </c>
      <c r="F128">
        <v>42.91</v>
      </c>
      <c r="G128" t="str">
        <f>HYPERLINK("https://www.ncbi.nlm.nih.gov/nucleotide/XM_007362291.1?report=genbank&amp;log$=nucltop&amp;blast_rank=23&amp;RID=0RSCT1BR013","XM_007362291.1")</f>
        <v>XM_007362291.1</v>
      </c>
    </row>
    <row r="129" spans="1:7" x14ac:dyDescent="0.35">
      <c r="A129" t="s">
        <v>125</v>
      </c>
      <c r="B129">
        <v>102</v>
      </c>
      <c r="C129">
        <v>102</v>
      </c>
      <c r="D129" s="2">
        <v>0.24</v>
      </c>
      <c r="E129" s="3">
        <v>9.9999999999999991E-22</v>
      </c>
      <c r="F129">
        <v>42.4</v>
      </c>
      <c r="G129" t="str">
        <f>HYPERLINK("https://www.ncbi.nlm.nih.gov/nucleotide/XM_019169940.1?report=genbank&amp;log$=nucltop&amp;blast_rank=24&amp;RID=0RSCT1BR013","XM_019169940.1")</f>
        <v>XM_019169940.1</v>
      </c>
    </row>
    <row r="130" spans="1:7" x14ac:dyDescent="0.35">
      <c r="A130" s="4" t="s">
        <v>127</v>
      </c>
      <c r="B130" s="4">
        <v>118</v>
      </c>
      <c r="C130" s="4">
        <v>118</v>
      </c>
      <c r="D130" s="5">
        <v>0.25</v>
      </c>
      <c r="E130" s="6">
        <v>3E-24</v>
      </c>
      <c r="F130" s="4">
        <v>42.28</v>
      </c>
      <c r="G130" s="4" t="str">
        <f>HYPERLINK("https://www.ncbi.nlm.nih.gov/nucleotide/XM_037363786.1?report=genbank&amp;log$=nucltop&amp;blast_rank=25&amp;RID=0RSCT1BR013","XM_037363786.1")</f>
        <v>XM_037363786.1</v>
      </c>
    </row>
    <row r="131" spans="1:7" x14ac:dyDescent="0.35">
      <c r="A131" t="s">
        <v>126</v>
      </c>
      <c r="B131">
        <v>134</v>
      </c>
      <c r="C131">
        <v>134</v>
      </c>
      <c r="D131" s="2">
        <v>0.25</v>
      </c>
      <c r="E131" s="3">
        <v>3.0000000000000003E-29</v>
      </c>
      <c r="F131">
        <v>42.04</v>
      </c>
      <c r="G131" t="str">
        <f>HYPERLINK("https://www.ncbi.nlm.nih.gov/nucleotide/XM_007769767.1?report=genbank&amp;log$=nucltop&amp;blast_rank=26&amp;RID=0RSCT1BR013","XM_007769767.1")</f>
        <v>XM_007769767.1</v>
      </c>
    </row>
    <row r="132" spans="1:7" x14ac:dyDescent="0.35">
      <c r="A132" t="s">
        <v>124</v>
      </c>
      <c r="B132">
        <v>122</v>
      </c>
      <c r="C132">
        <v>122</v>
      </c>
      <c r="D132" s="2">
        <v>0.25</v>
      </c>
      <c r="E132" s="3">
        <v>2.0000000000000001E-25</v>
      </c>
      <c r="F132">
        <v>41.61</v>
      </c>
      <c r="G132" t="str">
        <f>HYPERLINK("https://www.ncbi.nlm.nih.gov/nucleotide/XM_013384521.1?report=genbank&amp;log$=nucltop&amp;blast_rank=27&amp;RID=0RSCT1BR013","XM_013384521.1")</f>
        <v>XM_013384521.1</v>
      </c>
    </row>
    <row r="133" spans="1:7" x14ac:dyDescent="0.35">
      <c r="A133" t="s">
        <v>123</v>
      </c>
      <c r="B133">
        <v>125</v>
      </c>
      <c r="C133">
        <v>125</v>
      </c>
      <c r="D133" s="2">
        <v>0.24</v>
      </c>
      <c r="E133" s="3">
        <v>2.0000000000000001E-26</v>
      </c>
      <c r="F133">
        <v>41.1</v>
      </c>
      <c r="G133" t="str">
        <f>HYPERLINK("https://www.ncbi.nlm.nih.gov/nucleotide/XM_025744195.1?report=genbank&amp;log$=nucltop&amp;blast_rank=28&amp;RID=0RSCT1BR013","XM_025744195.1")</f>
        <v>XM_025744195.1</v>
      </c>
    </row>
    <row r="134" spans="1:7" x14ac:dyDescent="0.35">
      <c r="A134" t="s">
        <v>128</v>
      </c>
      <c r="B134">
        <v>112</v>
      </c>
      <c r="C134">
        <v>112</v>
      </c>
      <c r="D134" s="2">
        <v>0.25</v>
      </c>
      <c r="E134" s="3">
        <v>2.0000000000000001E-22</v>
      </c>
      <c r="F134">
        <v>40.56</v>
      </c>
      <c r="G134" t="str">
        <f>HYPERLINK("https://www.ncbi.nlm.nih.gov/nucleotide/XM_006958724.1?report=genbank&amp;log$=nucltop&amp;blast_rank=29&amp;RID=0RSCT1BR013","XM_006958724.1")</f>
        <v>XM_006958724.1</v>
      </c>
    </row>
    <row r="135" spans="1:7" x14ac:dyDescent="0.35">
      <c r="A135" t="s">
        <v>126</v>
      </c>
      <c r="B135">
        <v>170</v>
      </c>
      <c r="C135">
        <v>170</v>
      </c>
      <c r="D135" s="2">
        <v>0.48</v>
      </c>
      <c r="E135" s="3">
        <v>2E-41</v>
      </c>
      <c r="F135">
        <v>40.22</v>
      </c>
      <c r="G135" t="str">
        <f>HYPERLINK("https://www.ncbi.nlm.nih.gov/nucleotide/XM_007767799.1?report=genbank&amp;log$=nucltop&amp;blast_rank=30&amp;RID=0RSCT1BR013","XM_007767799.1")</f>
        <v>XM_007767799.1</v>
      </c>
    </row>
    <row r="136" spans="1:7" x14ac:dyDescent="0.35">
      <c r="A136" t="s">
        <v>149</v>
      </c>
      <c r="B136">
        <v>99.4</v>
      </c>
      <c r="C136">
        <v>99.4</v>
      </c>
      <c r="D136" s="2">
        <v>0.26</v>
      </c>
      <c r="E136" s="3">
        <v>2.9999999999999999E-19</v>
      </c>
      <c r="F136">
        <v>40.15</v>
      </c>
      <c r="G136" t="str">
        <f>HYPERLINK("https://www.ncbi.nlm.nih.gov/nucleotide/XM_033675412.1?report=genbank&amp;log$=nucltop&amp;blast_rank=31&amp;RID=0RSCT1BR013","XM_033675412.1")</f>
        <v>XM_033675412.1</v>
      </c>
    </row>
    <row r="137" spans="1:7" x14ac:dyDescent="0.35">
      <c r="A137" t="s">
        <v>130</v>
      </c>
      <c r="B137">
        <v>110</v>
      </c>
      <c r="C137">
        <v>110</v>
      </c>
      <c r="D137" s="2">
        <v>0.25</v>
      </c>
      <c r="E137" s="3">
        <v>1.9999999999999998E-24</v>
      </c>
      <c r="F137">
        <v>40</v>
      </c>
      <c r="G137" t="str">
        <f>HYPERLINK("https://www.ncbi.nlm.nih.gov/nucleotide/XM_018412799.1?report=genbank&amp;log$=nucltop&amp;blast_rank=32&amp;RID=0RSCT1BR013","XM_018412799.1")</f>
        <v>XM_018412799.1</v>
      </c>
    </row>
    <row r="138" spans="1:7" x14ac:dyDescent="0.35">
      <c r="A138" t="s">
        <v>131</v>
      </c>
      <c r="B138">
        <v>117</v>
      </c>
      <c r="C138">
        <v>117</v>
      </c>
      <c r="D138" s="2">
        <v>0.27</v>
      </c>
      <c r="E138" s="3">
        <v>1.9999999999999998E-24</v>
      </c>
      <c r="F138">
        <v>40</v>
      </c>
      <c r="G138" t="str">
        <f>HYPERLINK("https://www.ncbi.nlm.nih.gov/nucleotide/XM_025316520.1?report=genbank&amp;log$=nucltop&amp;blast_rank=33&amp;RID=0RSCT1BR013","XM_025316520.1")</f>
        <v>XM_025316520.1</v>
      </c>
    </row>
    <row r="139" spans="1:7" x14ac:dyDescent="0.35">
      <c r="A139" t="s">
        <v>120</v>
      </c>
      <c r="B139">
        <v>203</v>
      </c>
      <c r="C139">
        <v>203</v>
      </c>
      <c r="D139" s="2">
        <v>0.49</v>
      </c>
      <c r="E139" s="3">
        <v>7.0000000000000005E-55</v>
      </c>
      <c r="F139">
        <v>39.46</v>
      </c>
      <c r="G139" t="str">
        <f>HYPERLINK("https://www.ncbi.nlm.nih.gov/nucleotide/XM_012325304.1?report=genbank&amp;log$=nucltop&amp;blast_rank=34&amp;RID=0RSCT1BR013","XM_012325304.1")</f>
        <v>XM_012325304.1</v>
      </c>
    </row>
    <row r="140" spans="1:7" x14ac:dyDescent="0.35">
      <c r="A140" t="s">
        <v>136</v>
      </c>
      <c r="B140">
        <v>117</v>
      </c>
      <c r="C140">
        <v>117</v>
      </c>
      <c r="D140" s="2">
        <v>0.25</v>
      </c>
      <c r="E140" s="3">
        <v>6.9999999999999993E-24</v>
      </c>
      <c r="F140">
        <v>38.99</v>
      </c>
      <c r="G140" t="str">
        <f>HYPERLINK("https://www.ncbi.nlm.nih.gov/nucleotide/XM_024479541.1?report=genbank&amp;log$=nucltop&amp;blast_rank=35&amp;RID=0RSCT1BR013","XM_024479541.1")</f>
        <v>XM_024479541.1</v>
      </c>
    </row>
    <row r="141" spans="1:7" x14ac:dyDescent="0.35">
      <c r="A141" t="s">
        <v>135</v>
      </c>
      <c r="B141">
        <v>103</v>
      </c>
      <c r="C141">
        <v>103</v>
      </c>
      <c r="D141" s="2">
        <v>0.26</v>
      </c>
      <c r="E141" s="3">
        <v>2.9999999999999999E-19</v>
      </c>
      <c r="F141">
        <v>38.69</v>
      </c>
      <c r="G141" t="str">
        <f>HYPERLINK("https://www.ncbi.nlm.nih.gov/nucleotide/XM_007731990.1?report=genbank&amp;log$=nucltop&amp;blast_rank=36&amp;RID=0RSCT1BR013","XM_007731990.1")</f>
        <v>XM_007731990.1</v>
      </c>
    </row>
    <row r="142" spans="1:7" x14ac:dyDescent="0.35">
      <c r="A142" t="s">
        <v>129</v>
      </c>
      <c r="B142">
        <v>107</v>
      </c>
      <c r="C142">
        <v>107</v>
      </c>
      <c r="D142" s="2">
        <v>0.3</v>
      </c>
      <c r="E142" s="3">
        <v>1.9999999999999999E-20</v>
      </c>
      <c r="F142">
        <v>38.46</v>
      </c>
      <c r="G142" t="str">
        <f>HYPERLINK("https://www.ncbi.nlm.nih.gov/nucleotide/XM_001912109.1?report=genbank&amp;log$=nucltop&amp;blast_rank=37&amp;RID=0RSCT1BR013","XM_001912109.1")</f>
        <v>XM_001912109.1</v>
      </c>
    </row>
    <row r="143" spans="1:7" x14ac:dyDescent="0.35">
      <c r="A143" t="s">
        <v>157</v>
      </c>
      <c r="B143">
        <v>117</v>
      </c>
      <c r="C143">
        <v>117</v>
      </c>
      <c r="D143" s="2">
        <v>0.26</v>
      </c>
      <c r="E143" s="3">
        <v>6.9999999999999993E-24</v>
      </c>
      <c r="F143">
        <v>38.36</v>
      </c>
      <c r="G143" t="str">
        <f>HYPERLINK("https://www.ncbi.nlm.nih.gov/nucleotide/XM_006460100.1?report=genbank&amp;log$=nucltop&amp;blast_rank=38&amp;RID=0RSCT1BR013","XM_006460100.1")</f>
        <v>XM_006460100.1</v>
      </c>
    </row>
    <row r="144" spans="1:7" x14ac:dyDescent="0.35">
      <c r="A144" t="s">
        <v>158</v>
      </c>
      <c r="B144">
        <v>117</v>
      </c>
      <c r="C144">
        <v>117</v>
      </c>
      <c r="D144" s="2">
        <v>0.26</v>
      </c>
      <c r="E144" s="3">
        <v>7.9999999999999994E-24</v>
      </c>
      <c r="F144">
        <v>38.36</v>
      </c>
      <c r="G144" t="str">
        <f>HYPERLINK("https://www.ncbi.nlm.nih.gov/nucleotide/XM_007329370.1?report=genbank&amp;log$=nucltop&amp;blast_rank=39&amp;RID=0RSCT1BR013","XM_007329370.1")</f>
        <v>XM_007329370.1</v>
      </c>
    </row>
    <row r="145" spans="1:7" x14ac:dyDescent="0.35">
      <c r="A145" t="s">
        <v>140</v>
      </c>
      <c r="B145">
        <v>117</v>
      </c>
      <c r="C145">
        <v>117</v>
      </c>
      <c r="D145" s="2">
        <v>0.26</v>
      </c>
      <c r="E145" s="3">
        <v>9.0000000000000002E-25</v>
      </c>
      <c r="F145">
        <v>38.31</v>
      </c>
      <c r="G145" t="str">
        <f>HYPERLINK("https://www.ncbi.nlm.nih.gov/nucleotide/XM_007407307.1?report=genbank&amp;log$=nucltop&amp;blast_rank=40&amp;RID=0RSCT1BR013","XM_007407307.1")</f>
        <v>XM_007407307.1</v>
      </c>
    </row>
    <row r="146" spans="1:7" x14ac:dyDescent="0.35">
      <c r="A146" s="4" t="s">
        <v>132</v>
      </c>
      <c r="B146" s="4">
        <v>112</v>
      </c>
      <c r="C146" s="4">
        <v>112</v>
      </c>
      <c r="D146" s="5">
        <v>0.25</v>
      </c>
      <c r="E146" s="6">
        <v>2.0000000000000001E-22</v>
      </c>
      <c r="F146" s="4">
        <v>38.26</v>
      </c>
      <c r="G146" s="4" t="str">
        <f>HYPERLINK("https://www.ncbi.nlm.nih.gov/nucleotide/XM_009267583.1?report=genbank&amp;log$=nucltop&amp;blast_rank=41&amp;RID=0RSCT1BR013","XM_009267583.1")</f>
        <v>XM_009267583.1</v>
      </c>
    </row>
    <row r="147" spans="1:7" x14ac:dyDescent="0.35">
      <c r="A147" t="s">
        <v>113</v>
      </c>
      <c r="B147">
        <v>121</v>
      </c>
      <c r="C147">
        <v>121</v>
      </c>
      <c r="D147" s="2">
        <v>0.26</v>
      </c>
      <c r="E147" s="3">
        <v>5.9999999999999995E-25</v>
      </c>
      <c r="F147">
        <v>38.119999999999997</v>
      </c>
      <c r="G147" t="str">
        <f>HYPERLINK("https://www.ncbi.nlm.nih.gov/nucleotide/XM_008037398.1?report=genbank&amp;log$=nucltop&amp;blast_rank=42&amp;RID=0RSCT1BR013","XM_008037398.1")</f>
        <v>XM_008037398.1</v>
      </c>
    </row>
    <row r="148" spans="1:7" x14ac:dyDescent="0.35">
      <c r="A148" t="s">
        <v>138</v>
      </c>
      <c r="B148">
        <v>103</v>
      </c>
      <c r="C148">
        <v>103</v>
      </c>
      <c r="D148" s="2">
        <v>0.26</v>
      </c>
      <c r="E148" s="3">
        <v>2.9999999999999999E-19</v>
      </c>
      <c r="F148">
        <v>37.96</v>
      </c>
      <c r="G148" t="str">
        <f>HYPERLINK("https://www.ncbi.nlm.nih.gov/nucleotide/XM_018833109.1?report=genbank&amp;log$=nucltop&amp;blast_rank=43&amp;RID=0RSCT1BR013","XM_018833109.1")</f>
        <v>XM_018833109.1</v>
      </c>
    </row>
    <row r="149" spans="1:7" x14ac:dyDescent="0.35">
      <c r="A149" t="s">
        <v>153</v>
      </c>
      <c r="B149">
        <v>119</v>
      </c>
      <c r="C149">
        <v>119</v>
      </c>
      <c r="D149" s="2">
        <v>0.25</v>
      </c>
      <c r="E149" s="3">
        <v>4.9999999999999998E-24</v>
      </c>
      <c r="F149">
        <v>37.909999999999997</v>
      </c>
      <c r="G149" t="str">
        <f>HYPERLINK("https://www.ncbi.nlm.nih.gov/nucleotide/LT795076.1?report=genbank&amp;log$=nucltop&amp;blast_rank=44&amp;RID=0RSCT1BR013","LT795076.1")</f>
        <v>LT795076.1</v>
      </c>
    </row>
    <row r="150" spans="1:7" x14ac:dyDescent="0.35">
      <c r="A150" t="s">
        <v>154</v>
      </c>
      <c r="B150">
        <v>119</v>
      </c>
      <c r="C150">
        <v>119</v>
      </c>
      <c r="D150" s="2">
        <v>0.25</v>
      </c>
      <c r="E150" s="3">
        <v>6.9999999999999993E-24</v>
      </c>
      <c r="F150">
        <v>37.909999999999997</v>
      </c>
      <c r="G150" t="str">
        <f>HYPERLINK("https://www.ncbi.nlm.nih.gov/nucleotide/FQ311445.1?report=genbank&amp;log$=nucltop&amp;blast_rank=45&amp;RID=0RSCT1BR013","FQ311445.1")</f>
        <v>FQ311445.1</v>
      </c>
    </row>
    <row r="151" spans="1:7" x14ac:dyDescent="0.35">
      <c r="A151" t="s">
        <v>808</v>
      </c>
      <c r="B151">
        <v>117</v>
      </c>
      <c r="C151">
        <v>117</v>
      </c>
      <c r="D151" s="2">
        <v>0.25</v>
      </c>
      <c r="E151" s="3">
        <v>8.9999999999999995E-24</v>
      </c>
      <c r="F151">
        <v>37.659999999999997</v>
      </c>
      <c r="G151" t="str">
        <f>HYPERLINK("https://www.ncbi.nlm.nih.gov/nucleotide/XM_039067136.1?report=genbank&amp;log$=nucltop&amp;blast_rank=46&amp;RID=0RSCT1BR013","XM_039067136.1")</f>
        <v>XM_039067136.1</v>
      </c>
    </row>
    <row r="152" spans="1:7" x14ac:dyDescent="0.35">
      <c r="A152" t="s">
        <v>162</v>
      </c>
      <c r="B152">
        <v>103</v>
      </c>
      <c r="C152">
        <v>103</v>
      </c>
      <c r="D152" s="2">
        <v>0.26</v>
      </c>
      <c r="E152" s="3">
        <v>2E-19</v>
      </c>
      <c r="F152">
        <v>37.5</v>
      </c>
      <c r="G152" t="str">
        <f>HYPERLINK("https://www.ncbi.nlm.nih.gov/nucleotide/XM_033735511.1?report=genbank&amp;log$=nucltop&amp;blast_rank=47&amp;RID=0RSCT1BR013","XM_033735511.1")</f>
        <v>XM_033735511.1</v>
      </c>
    </row>
    <row r="153" spans="1:7" x14ac:dyDescent="0.35">
      <c r="A153" t="s">
        <v>142</v>
      </c>
      <c r="B153">
        <v>102</v>
      </c>
      <c r="C153">
        <v>102</v>
      </c>
      <c r="D153" s="2">
        <v>0.27</v>
      </c>
      <c r="E153" s="3">
        <v>5.9999999999999999E-19</v>
      </c>
      <c r="F153">
        <v>37.409999999999997</v>
      </c>
      <c r="G153" t="str">
        <f>HYPERLINK("https://www.ncbi.nlm.nih.gov/nucleotide/XM_013412294.1?report=genbank&amp;log$=nucltop&amp;blast_rank=48&amp;RID=0RSCT1BR013","XM_013412294.1")</f>
        <v>XM_013412294.1</v>
      </c>
    </row>
    <row r="154" spans="1:7" x14ac:dyDescent="0.35">
      <c r="A154" t="s">
        <v>159</v>
      </c>
      <c r="B154">
        <v>118</v>
      </c>
      <c r="C154">
        <v>118</v>
      </c>
      <c r="D154" s="2">
        <v>0.26</v>
      </c>
      <c r="E154" s="3">
        <v>3.9999999999999997E-24</v>
      </c>
      <c r="F154">
        <v>37.340000000000003</v>
      </c>
      <c r="G154" t="str">
        <f>HYPERLINK("https://www.ncbi.nlm.nih.gov/nucleotide/XM_007364265.1?report=genbank&amp;log$=nucltop&amp;blast_rank=49&amp;RID=0RSCT1BR013","XM_007364265.1")</f>
        <v>XM_007364265.1</v>
      </c>
    </row>
    <row r="155" spans="1:7" x14ac:dyDescent="0.35">
      <c r="A155" t="s">
        <v>143</v>
      </c>
      <c r="B155">
        <v>103</v>
      </c>
      <c r="C155">
        <v>103</v>
      </c>
      <c r="D155" s="2">
        <v>0.27</v>
      </c>
      <c r="E155" s="3">
        <v>3.9999999999999999E-19</v>
      </c>
      <c r="F155">
        <v>37.32</v>
      </c>
      <c r="G155" t="str">
        <f>HYPERLINK("https://www.ncbi.nlm.nih.gov/nucleotide/XM_031128085.1?report=genbank&amp;log$=nucltop&amp;blast_rank=50&amp;RID=0RSCT1BR013","XM_031128085.1")</f>
        <v>XM_031128085.1</v>
      </c>
    </row>
    <row r="156" spans="1:7" x14ac:dyDescent="0.35">
      <c r="A156" t="s">
        <v>145</v>
      </c>
      <c r="B156">
        <v>102</v>
      </c>
      <c r="C156">
        <v>102</v>
      </c>
      <c r="D156" s="2">
        <v>0.27</v>
      </c>
      <c r="E156" s="3">
        <v>1.0000000000000001E-18</v>
      </c>
      <c r="F156">
        <v>37.32</v>
      </c>
      <c r="G156" t="str">
        <f>HYPERLINK("https://www.ncbi.nlm.nih.gov/nucleotide/XM_003717725.1?report=genbank&amp;log$=nucltop&amp;blast_rank=51&amp;RID=0RSCT1BR013","XM_003717725.1")</f>
        <v>XM_003717725.1</v>
      </c>
    </row>
    <row r="157" spans="1:7" x14ac:dyDescent="0.35">
      <c r="A157" t="s">
        <v>144</v>
      </c>
      <c r="B157">
        <v>101</v>
      </c>
      <c r="C157">
        <v>101</v>
      </c>
      <c r="D157" s="2">
        <v>0.27</v>
      </c>
      <c r="E157" s="3">
        <v>2.0000000000000001E-18</v>
      </c>
      <c r="F157">
        <v>37.32</v>
      </c>
      <c r="G157" t="str">
        <f>HYPERLINK("https://www.ncbi.nlm.nih.gov/nucleotide/XM_029895118.1?report=genbank&amp;log$=nucltop&amp;blast_rank=52&amp;RID=0RSCT1BR013","XM_029895118.1")</f>
        <v>XM_029895118.1</v>
      </c>
    </row>
    <row r="158" spans="1:7" x14ac:dyDescent="0.35">
      <c r="A158" t="s">
        <v>146</v>
      </c>
      <c r="B158">
        <v>104</v>
      </c>
      <c r="C158">
        <v>104</v>
      </c>
      <c r="D158" s="2">
        <v>0.26</v>
      </c>
      <c r="E158" s="3">
        <v>2E-19</v>
      </c>
      <c r="F158">
        <v>37.229999999999997</v>
      </c>
      <c r="G158" t="str">
        <f>HYPERLINK("https://www.ncbi.nlm.nih.gov/nucleotide/XM_016394547.1?report=genbank&amp;log$=nucltop&amp;blast_rank=53&amp;RID=0RSCT1BR013","XM_016394547.1")</f>
        <v>XM_016394547.1</v>
      </c>
    </row>
    <row r="159" spans="1:7" x14ac:dyDescent="0.35">
      <c r="A159" t="s">
        <v>147</v>
      </c>
      <c r="B159">
        <v>102</v>
      </c>
      <c r="C159">
        <v>102</v>
      </c>
      <c r="D159" s="2">
        <v>0.26</v>
      </c>
      <c r="E159" s="3">
        <v>5.9999999999999999E-19</v>
      </c>
      <c r="F159">
        <v>37.229999999999997</v>
      </c>
      <c r="G159" t="str">
        <f>HYPERLINK("https://www.ncbi.nlm.nih.gov/nucleotide/XM_007744248.1?report=genbank&amp;log$=nucltop&amp;blast_rank=54&amp;RID=0RSCT1BR013","XM_007744248.1")</f>
        <v>XM_007744248.1</v>
      </c>
    </row>
    <row r="160" spans="1:7" x14ac:dyDescent="0.35">
      <c r="A160" t="s">
        <v>148</v>
      </c>
      <c r="B160">
        <v>102</v>
      </c>
      <c r="C160">
        <v>102</v>
      </c>
      <c r="D160" s="2">
        <v>0.26</v>
      </c>
      <c r="E160" s="3">
        <v>1.0000000000000001E-18</v>
      </c>
      <c r="F160">
        <v>37.229999999999997</v>
      </c>
      <c r="G160" t="str">
        <f>HYPERLINK("https://www.ncbi.nlm.nih.gov/nucleotide/XM_016767487.1?report=genbank&amp;log$=nucltop&amp;blast_rank=55&amp;RID=0RSCT1BR013","XM_016767487.1")</f>
        <v>XM_016767487.1</v>
      </c>
    </row>
    <row r="161" spans="1:7" x14ac:dyDescent="0.35">
      <c r="A161" t="s">
        <v>183</v>
      </c>
      <c r="B161">
        <v>111</v>
      </c>
      <c r="C161">
        <v>111</v>
      </c>
      <c r="D161" s="2">
        <v>0.25</v>
      </c>
      <c r="E161" s="3">
        <v>4.9999999999999998E-24</v>
      </c>
      <c r="F161">
        <v>36.770000000000003</v>
      </c>
      <c r="G161" t="str">
        <f>HYPERLINK("https://www.ncbi.nlm.nih.gov/nucleotide/XM_016436705.1?report=genbank&amp;log$=nucltop&amp;blast_rank=56&amp;RID=0RSCT1BR013","XM_016436705.1")</f>
        <v>XM_016436705.1</v>
      </c>
    </row>
    <row r="162" spans="1:7" x14ac:dyDescent="0.35">
      <c r="A162" t="s">
        <v>120</v>
      </c>
      <c r="B162">
        <v>118</v>
      </c>
      <c r="C162">
        <v>118</v>
      </c>
      <c r="D162" s="2">
        <v>0.26</v>
      </c>
      <c r="E162" s="3">
        <v>4.9999999999999998E-24</v>
      </c>
      <c r="F162">
        <v>36.65</v>
      </c>
      <c r="G162" t="str">
        <f>HYPERLINK("https://www.ncbi.nlm.nih.gov/nucleotide/XM_012325595.1?report=genbank&amp;log$=nucltop&amp;blast_rank=57&amp;RID=0RSCT1BR013","XM_012325595.1")</f>
        <v>XM_012325595.1</v>
      </c>
    </row>
    <row r="163" spans="1:7" x14ac:dyDescent="0.35">
      <c r="A163" t="s">
        <v>177</v>
      </c>
      <c r="B163">
        <v>99</v>
      </c>
      <c r="C163">
        <v>99</v>
      </c>
      <c r="D163" s="2">
        <v>0.24</v>
      </c>
      <c r="E163" s="3">
        <v>2.9999999999999999E-19</v>
      </c>
      <c r="F163">
        <v>36.6</v>
      </c>
      <c r="G163" t="str">
        <f>HYPERLINK("https://www.ncbi.nlm.nih.gov/nucleotide/XM_007771470.1?report=genbank&amp;log$=nucltop&amp;blast_rank=58&amp;RID=0RSCT1BR013","XM_007771470.1")</f>
        <v>XM_007771470.1</v>
      </c>
    </row>
    <row r="164" spans="1:7" x14ac:dyDescent="0.35">
      <c r="A164" t="s">
        <v>192</v>
      </c>
      <c r="B164">
        <v>117</v>
      </c>
      <c r="C164">
        <v>117</v>
      </c>
      <c r="D164" s="2">
        <v>0.25</v>
      </c>
      <c r="E164" s="3">
        <v>9.9999999999999996E-24</v>
      </c>
      <c r="F164">
        <v>36.54</v>
      </c>
      <c r="G164" t="str">
        <f>HYPERLINK("https://www.ncbi.nlm.nih.gov/nucleotide/LT558139.1?report=genbank&amp;log$=nucltop&amp;blast_rank=59&amp;RID=0RSCT1BR013","LT558139.1")</f>
        <v>LT558139.1</v>
      </c>
    </row>
    <row r="165" spans="1:7" x14ac:dyDescent="0.35">
      <c r="A165" t="s">
        <v>810</v>
      </c>
      <c r="B165">
        <v>118</v>
      </c>
      <c r="C165">
        <v>118</v>
      </c>
      <c r="D165" s="2">
        <v>0.25</v>
      </c>
      <c r="E165" s="3">
        <v>3.9999999999999997E-24</v>
      </c>
      <c r="F165">
        <v>36.479999999999997</v>
      </c>
      <c r="G165" t="str">
        <f>HYPERLINK("https://www.ncbi.nlm.nih.gov/nucleotide/XM_003036760.2?report=genbank&amp;log$=nucltop&amp;blast_rank=60&amp;RID=0RSCT1BR013","XM_003036760.2")</f>
        <v>XM_003036760.2</v>
      </c>
    </row>
    <row r="166" spans="1:7" x14ac:dyDescent="0.35">
      <c r="A166" t="s">
        <v>141</v>
      </c>
      <c r="B166">
        <v>106</v>
      </c>
      <c r="C166">
        <v>106</v>
      </c>
      <c r="D166" s="2">
        <v>0.32</v>
      </c>
      <c r="E166" s="3">
        <v>3.9999999999999998E-20</v>
      </c>
      <c r="F166">
        <v>36.47</v>
      </c>
      <c r="G166" t="str">
        <f>HYPERLINK("https://www.ncbi.nlm.nih.gov/nucleotide/XM_001224600.1?report=genbank&amp;log$=nucltop&amp;blast_rank=61&amp;RID=0RSCT1BR013","XM_001224600.1")</f>
        <v>XM_001224600.1</v>
      </c>
    </row>
    <row r="167" spans="1:7" x14ac:dyDescent="0.35">
      <c r="A167" t="s">
        <v>169</v>
      </c>
      <c r="B167">
        <v>114</v>
      </c>
      <c r="C167">
        <v>114</v>
      </c>
      <c r="D167" s="2">
        <v>0.25</v>
      </c>
      <c r="E167" s="3">
        <v>1E-22</v>
      </c>
      <c r="F167">
        <v>36.42</v>
      </c>
      <c r="G167" t="str">
        <f>HYPERLINK("https://www.ncbi.nlm.nih.gov/nucleotide/XM_007381794.1?report=genbank&amp;log$=nucltop&amp;blast_rank=62&amp;RID=0RSCT1BR013","XM_007381794.1")</f>
        <v>XM_007381794.1</v>
      </c>
    </row>
    <row r="168" spans="1:7" x14ac:dyDescent="0.35">
      <c r="A168" t="s">
        <v>109</v>
      </c>
      <c r="B168">
        <v>114</v>
      </c>
      <c r="C168">
        <v>114</v>
      </c>
      <c r="D168" s="2">
        <v>0.25</v>
      </c>
      <c r="E168" s="3">
        <v>8.9999999999999995E-23</v>
      </c>
      <c r="F168">
        <v>36.36</v>
      </c>
      <c r="G168" t="str">
        <f>HYPERLINK("https://www.ncbi.nlm.nih.gov/nucleotide/XM_007864340.1?report=genbank&amp;log$=nucltop&amp;blast_rank=63&amp;RID=0RSCT1BR013","XM_007864340.1")</f>
        <v>XM_007864340.1</v>
      </c>
    </row>
    <row r="169" spans="1:7" x14ac:dyDescent="0.35">
      <c r="A169" t="s">
        <v>175</v>
      </c>
      <c r="B169">
        <v>102</v>
      </c>
      <c r="C169">
        <v>102</v>
      </c>
      <c r="D169" s="2">
        <v>0.26</v>
      </c>
      <c r="E169" s="3">
        <v>7.0000000000000003E-19</v>
      </c>
      <c r="F169">
        <v>36.229999999999997</v>
      </c>
      <c r="G169" t="str">
        <f>HYPERLINK("https://www.ncbi.nlm.nih.gov/nucleotide/XM_022651297.1?report=genbank&amp;log$=nucltop&amp;blast_rank=64&amp;RID=0RSCT1BR013","XM_022651297.1")</f>
        <v>XM_022651297.1</v>
      </c>
    </row>
    <row r="170" spans="1:7" x14ac:dyDescent="0.35">
      <c r="A170" t="s">
        <v>151</v>
      </c>
      <c r="B170">
        <v>109</v>
      </c>
      <c r="C170">
        <v>109</v>
      </c>
      <c r="D170" s="2">
        <v>0.32</v>
      </c>
      <c r="E170" s="3">
        <v>3.9999999999999996E-21</v>
      </c>
      <c r="F170">
        <v>36.14</v>
      </c>
      <c r="G170" t="str">
        <f>HYPERLINK("https://www.ncbi.nlm.nih.gov/nucleotide/XM_031136412.1?report=genbank&amp;log$=nucltop&amp;blast_rank=65&amp;RID=0RSCT1BR013","XM_031136412.1")</f>
        <v>XM_031136412.1</v>
      </c>
    </row>
    <row r="171" spans="1:7" x14ac:dyDescent="0.35">
      <c r="A171" s="4" t="s">
        <v>163</v>
      </c>
      <c r="B171" s="4">
        <v>113</v>
      </c>
      <c r="C171" s="4">
        <v>113</v>
      </c>
      <c r="D171" s="5">
        <v>0.36</v>
      </c>
      <c r="E171" s="6">
        <v>2.0000000000000001E-22</v>
      </c>
      <c r="F171" s="4">
        <v>36.020000000000003</v>
      </c>
      <c r="G171" s="4" t="str">
        <f>HYPERLINK("https://www.ncbi.nlm.nih.gov/nucleotide/XM_016416769.1?report=genbank&amp;log$=nucltop&amp;blast_rank=66&amp;RID=0RSCT1BR013","XM_016416769.1")</f>
        <v>XM_016416769.1</v>
      </c>
    </row>
    <row r="172" spans="1:7" x14ac:dyDescent="0.35">
      <c r="A172" t="s">
        <v>152</v>
      </c>
      <c r="B172">
        <v>101</v>
      </c>
      <c r="C172">
        <v>101</v>
      </c>
      <c r="D172" s="2">
        <v>0.27</v>
      </c>
      <c r="E172" s="3">
        <v>2.0000000000000001E-18</v>
      </c>
      <c r="F172">
        <v>35.92</v>
      </c>
      <c r="G172" t="str">
        <f>HYPERLINK("https://www.ncbi.nlm.nih.gov/nucleotide/XM_013466482.1?report=genbank&amp;log$=nucltop&amp;blast_rank=67&amp;RID=0RSCT1BR013","XM_013466482.1")</f>
        <v>XM_013466482.1</v>
      </c>
    </row>
    <row r="173" spans="1:7" x14ac:dyDescent="0.35">
      <c r="A173" t="s">
        <v>165</v>
      </c>
      <c r="B173">
        <v>115</v>
      </c>
      <c r="C173">
        <v>115</v>
      </c>
      <c r="D173" s="2">
        <v>0.25</v>
      </c>
      <c r="E173" s="3">
        <v>5.0000000000000002E-23</v>
      </c>
      <c r="F173">
        <v>35.9</v>
      </c>
      <c r="G173" t="str">
        <f>HYPERLINK("https://www.ncbi.nlm.nih.gov/nucleotide/XM_014798439.1?report=genbank&amp;log$=nucltop&amp;blast_rank=68&amp;RID=0RSCT1BR013","XM_014798439.1")</f>
        <v>XM_014798439.1</v>
      </c>
    </row>
    <row r="174" spans="1:7" x14ac:dyDescent="0.35">
      <c r="A174" t="s">
        <v>166</v>
      </c>
      <c r="B174">
        <v>115</v>
      </c>
      <c r="C174">
        <v>115</v>
      </c>
      <c r="D174" s="2">
        <v>0.25</v>
      </c>
      <c r="E174" s="3">
        <v>6.9999999999999999E-23</v>
      </c>
      <c r="F174">
        <v>35.9</v>
      </c>
      <c r="G174" t="str">
        <f>HYPERLINK("https://www.ncbi.nlm.nih.gov/nucleotide/CP060305.1?report=genbank&amp;log$=nucltop&amp;blast_rank=69&amp;RID=0RSCT1BR013","CP060305.1")</f>
        <v>CP060305.1</v>
      </c>
    </row>
    <row r="175" spans="1:7" x14ac:dyDescent="0.35">
      <c r="A175" t="s">
        <v>180</v>
      </c>
      <c r="B175">
        <v>106</v>
      </c>
      <c r="C175">
        <v>106</v>
      </c>
      <c r="D175" s="2">
        <v>0.32</v>
      </c>
      <c r="E175" s="3">
        <v>3.9999999999999998E-20</v>
      </c>
      <c r="F175">
        <v>35.71</v>
      </c>
      <c r="G175" t="str">
        <f>HYPERLINK("https://www.ncbi.nlm.nih.gov/nucleotide/XM_016359670.1?report=genbank&amp;log$=nucltop&amp;blast_rank=70&amp;RID=0RSCT1BR013","XM_016359670.1")</f>
        <v>XM_016359670.1</v>
      </c>
    </row>
    <row r="176" spans="1:7" x14ac:dyDescent="0.35">
      <c r="A176" t="s">
        <v>170</v>
      </c>
      <c r="B176">
        <v>116</v>
      </c>
      <c r="C176">
        <v>116</v>
      </c>
      <c r="D176" s="2">
        <v>0.25</v>
      </c>
      <c r="E176" s="3">
        <v>1.9999999999999999E-23</v>
      </c>
      <c r="F176">
        <v>35.619999999999997</v>
      </c>
      <c r="G176" t="str">
        <f>HYPERLINK("https://www.ncbi.nlm.nih.gov/nucleotide/XM_012333207.1?report=genbank&amp;log$=nucltop&amp;blast_rank=71&amp;RID=0RSCT1BR013","XM_012333207.1")</f>
        <v>XM_012333207.1</v>
      </c>
    </row>
    <row r="177" spans="1:7" x14ac:dyDescent="0.35">
      <c r="A177" t="s">
        <v>172</v>
      </c>
      <c r="B177">
        <v>115</v>
      </c>
      <c r="C177">
        <v>115</v>
      </c>
      <c r="D177" s="2">
        <v>0.25</v>
      </c>
      <c r="E177" s="3">
        <v>6.0000000000000001E-23</v>
      </c>
      <c r="F177">
        <v>35.44</v>
      </c>
      <c r="G177" t="str">
        <f>HYPERLINK("https://www.ncbi.nlm.nih.gov/nucleotide/LK056654.1?report=genbank&amp;log$=nucltop&amp;blast_rank=72&amp;RID=0RSCT1BR013","LK056654.1")</f>
        <v>LK056654.1</v>
      </c>
    </row>
    <row r="178" spans="1:7" x14ac:dyDescent="0.35">
      <c r="A178" t="s">
        <v>173</v>
      </c>
      <c r="B178">
        <v>115</v>
      </c>
      <c r="C178">
        <v>115</v>
      </c>
      <c r="D178" s="2">
        <v>0.25</v>
      </c>
      <c r="E178" s="3">
        <v>6.0000000000000001E-23</v>
      </c>
      <c r="F178">
        <v>35.44</v>
      </c>
      <c r="G178" t="str">
        <f>HYPERLINK("https://www.ncbi.nlm.nih.gov/nucleotide/CP010920.1?report=genbank&amp;log$=nucltop&amp;blast_rank=73&amp;RID=0RSCT1BR013","CP010920.1")</f>
        <v>CP010920.1</v>
      </c>
    </row>
    <row r="179" spans="1:7" x14ac:dyDescent="0.35">
      <c r="A179" t="s">
        <v>164</v>
      </c>
      <c r="B179">
        <v>102</v>
      </c>
      <c r="C179">
        <v>102</v>
      </c>
      <c r="D179" s="2">
        <v>0.31</v>
      </c>
      <c r="E179" s="3">
        <v>9.0000000000000003E-19</v>
      </c>
      <c r="F179">
        <v>35.4</v>
      </c>
      <c r="G179" t="str">
        <f>HYPERLINK("https://www.ncbi.nlm.nih.gov/nucleotide/XM_009161017.1?report=genbank&amp;log$=nucltop&amp;blast_rank=74&amp;RID=0RSCT1BR013","XM_009161017.1")</f>
        <v>XM_009161017.1</v>
      </c>
    </row>
    <row r="180" spans="1:7" x14ac:dyDescent="0.35">
      <c r="A180" t="s">
        <v>936</v>
      </c>
      <c r="B180">
        <v>99</v>
      </c>
      <c r="C180">
        <v>99</v>
      </c>
      <c r="D180" s="2">
        <v>0.32</v>
      </c>
      <c r="E180" s="3">
        <v>7.0000000000000003E-19</v>
      </c>
      <c r="F180">
        <v>35.369999999999997</v>
      </c>
      <c r="G180" t="str">
        <f>HYPERLINK("https://www.ncbi.nlm.nih.gov/nucleotide/XM_024048667.1?report=genbank&amp;log$=nucltop&amp;blast_rank=75&amp;RID=0RSCT1BR013","XM_024048667.1")</f>
        <v>XM_024048667.1</v>
      </c>
    </row>
    <row r="181" spans="1:7" x14ac:dyDescent="0.35">
      <c r="A181" t="s">
        <v>21</v>
      </c>
      <c r="B181">
        <v>125</v>
      </c>
      <c r="C181">
        <v>125</v>
      </c>
      <c r="D181" s="2">
        <v>0.32</v>
      </c>
      <c r="E181" s="3">
        <v>1E-27</v>
      </c>
      <c r="F181">
        <v>35.35</v>
      </c>
      <c r="G181" t="str">
        <f>HYPERLINK("https://www.ncbi.nlm.nih.gov/nucleotide/XM_009545687.1?report=genbank&amp;log$=nucltop&amp;blast_rank=76&amp;RID=0RSCT1BR013","XM_009545687.1")</f>
        <v>XM_009545687.1</v>
      </c>
    </row>
    <row r="182" spans="1:7" x14ac:dyDescent="0.35">
      <c r="A182" t="s">
        <v>178</v>
      </c>
      <c r="B182">
        <v>114</v>
      </c>
      <c r="C182">
        <v>114</v>
      </c>
      <c r="D182" s="2">
        <v>0.24</v>
      </c>
      <c r="E182" s="3">
        <v>2.0000000000000001E-22</v>
      </c>
      <c r="F182">
        <v>35.29</v>
      </c>
      <c r="G182" t="str">
        <f>HYPERLINK("https://www.ncbi.nlm.nih.gov/nucleotide/XM_025502720.1?report=genbank&amp;log$=nucltop&amp;blast_rank=77&amp;RID=0RSCT1BR013","XM_025502720.1")</f>
        <v>XM_025502720.1</v>
      </c>
    </row>
    <row r="183" spans="1:7" x14ac:dyDescent="0.35">
      <c r="A183" t="s">
        <v>188</v>
      </c>
      <c r="B183">
        <v>109</v>
      </c>
      <c r="C183">
        <v>109</v>
      </c>
      <c r="D183" s="2">
        <v>0.24</v>
      </c>
      <c r="E183" s="3">
        <v>4.9999999999999997E-21</v>
      </c>
      <c r="F183">
        <v>35.29</v>
      </c>
      <c r="G183" t="str">
        <f>HYPERLINK("https://www.ncbi.nlm.nih.gov/nucleotide/XM_025521795.1?report=genbank&amp;log$=nucltop&amp;blast_rank=78&amp;RID=0RSCT1BR013","XM_025521795.1")</f>
        <v>XM_025521795.1</v>
      </c>
    </row>
    <row r="184" spans="1:7" x14ac:dyDescent="0.35">
      <c r="A184" t="s">
        <v>937</v>
      </c>
      <c r="B184">
        <v>101</v>
      </c>
      <c r="C184">
        <v>101</v>
      </c>
      <c r="D184" s="2">
        <v>0.27</v>
      </c>
      <c r="E184" s="3">
        <v>2.9999999999999998E-18</v>
      </c>
      <c r="F184">
        <v>35.21</v>
      </c>
      <c r="G184" t="str">
        <f>HYPERLINK("https://www.ncbi.nlm.nih.gov/nucleotide/XM_009224468.1?report=genbank&amp;log$=nucltop&amp;blast_rank=79&amp;RID=0RSCT1BR013","XM_009224468.1")</f>
        <v>XM_009224468.1</v>
      </c>
    </row>
    <row r="185" spans="1:7" x14ac:dyDescent="0.35">
      <c r="A185" t="s">
        <v>938</v>
      </c>
      <c r="B185">
        <v>102</v>
      </c>
      <c r="C185">
        <v>102</v>
      </c>
      <c r="D185" s="2">
        <v>0.31</v>
      </c>
      <c r="E185" s="3">
        <v>1.0000000000000001E-18</v>
      </c>
      <c r="F185">
        <v>35.19</v>
      </c>
      <c r="G185" t="str">
        <f>HYPERLINK("https://www.ncbi.nlm.nih.gov/nucleotide/XM_013409878.1?report=genbank&amp;log$=nucltop&amp;blast_rank=80&amp;RID=0RSCT1BR013","XM_013409878.1")</f>
        <v>XM_013409878.1</v>
      </c>
    </row>
    <row r="186" spans="1:7" x14ac:dyDescent="0.35">
      <c r="A186" t="s">
        <v>939</v>
      </c>
      <c r="B186">
        <v>100</v>
      </c>
      <c r="C186">
        <v>100</v>
      </c>
      <c r="D186" s="2">
        <v>0.31</v>
      </c>
      <c r="E186" s="3">
        <v>2.0000000000000001E-18</v>
      </c>
      <c r="F186">
        <v>35.19</v>
      </c>
      <c r="G186" t="str">
        <f>HYPERLINK("https://www.ncbi.nlm.nih.gov/nucleotide/XM_033745852.1?report=genbank&amp;log$=nucltop&amp;blast_rank=81&amp;RID=0RSCT1BR013","XM_033745852.1")</f>
        <v>XM_033745852.1</v>
      </c>
    </row>
    <row r="187" spans="1:7" x14ac:dyDescent="0.35">
      <c r="A187" t="s">
        <v>134</v>
      </c>
      <c r="B187">
        <v>102</v>
      </c>
      <c r="C187">
        <v>102</v>
      </c>
      <c r="D187" s="2">
        <v>0.32</v>
      </c>
      <c r="E187" s="3">
        <v>5.9999999999999999E-19</v>
      </c>
      <c r="F187">
        <v>35.119999999999997</v>
      </c>
      <c r="G187" t="str">
        <f>HYPERLINK("https://www.ncbi.nlm.nih.gov/nucleotide/XM_035462003.1?report=genbank&amp;log$=nucltop&amp;blast_rank=82&amp;RID=0RSCT1BR013","XM_035462003.1")</f>
        <v>XM_035462003.1</v>
      </c>
    </row>
    <row r="188" spans="1:7" x14ac:dyDescent="0.35">
      <c r="A188" t="s">
        <v>174</v>
      </c>
      <c r="B188">
        <v>105</v>
      </c>
      <c r="C188">
        <v>105</v>
      </c>
      <c r="D188" s="2">
        <v>0.3</v>
      </c>
      <c r="E188" s="3">
        <v>7.0000000000000001E-20</v>
      </c>
      <c r="F188">
        <v>35.06</v>
      </c>
      <c r="G188" t="str">
        <f>HYPERLINK("https://www.ncbi.nlm.nih.gov/nucleotide/XM_016779755.1?report=genbank&amp;log$=nucltop&amp;blast_rank=83&amp;RID=0RSCT1BR013","XM_016779755.1")</f>
        <v>XM_016779755.1</v>
      </c>
    </row>
    <row r="189" spans="1:7" x14ac:dyDescent="0.35">
      <c r="A189" t="s">
        <v>187</v>
      </c>
      <c r="B189">
        <v>112</v>
      </c>
      <c r="C189">
        <v>112</v>
      </c>
      <c r="D189" s="2">
        <v>0.25</v>
      </c>
      <c r="E189" s="3">
        <v>2.9999999999999999E-22</v>
      </c>
      <c r="F189">
        <v>35.03</v>
      </c>
      <c r="G189" t="str">
        <f>HYPERLINK("https://www.ncbi.nlm.nih.gov/nucleotide/XM_027754401.1?report=genbank&amp;log$=nucltop&amp;blast_rank=84&amp;RID=0RSCT1BR013","XM_027754401.1")</f>
        <v>XM_027754401.1</v>
      </c>
    </row>
    <row r="190" spans="1:7" x14ac:dyDescent="0.35">
      <c r="A190" t="s">
        <v>182</v>
      </c>
      <c r="B190">
        <v>115</v>
      </c>
      <c r="C190">
        <v>115</v>
      </c>
      <c r="D190" s="2">
        <v>0.25</v>
      </c>
      <c r="E190" s="3">
        <v>3.9999999999999998E-23</v>
      </c>
      <c r="F190">
        <v>35</v>
      </c>
      <c r="G190" t="str">
        <f>HYPERLINK("https://www.ncbi.nlm.nih.gov/nucleotide/XM_029884767.1?report=genbank&amp;log$=nucltop&amp;blast_rank=85&amp;RID=0RSCT1BR013","XM_029884767.1")</f>
        <v>XM_029884767.1</v>
      </c>
    </row>
    <row r="191" spans="1:7" x14ac:dyDescent="0.35">
      <c r="A191" t="s">
        <v>185</v>
      </c>
      <c r="B191">
        <v>114</v>
      </c>
      <c r="C191">
        <v>114</v>
      </c>
      <c r="D191" s="2">
        <v>0.27</v>
      </c>
      <c r="E191" s="3">
        <v>6.9999999999999999E-23</v>
      </c>
      <c r="F191">
        <v>34.880000000000003</v>
      </c>
      <c r="G191" t="str">
        <f>HYPERLINK("https://www.ncbi.nlm.nih.gov/nucleotide/XM_007882346.1?report=genbank&amp;log$=nucltop&amp;blast_rank=86&amp;RID=0RSCT1BR013","XM_007882346.1")</f>
        <v>XM_007882346.1</v>
      </c>
    </row>
    <row r="192" spans="1:7" x14ac:dyDescent="0.35">
      <c r="A192" t="s">
        <v>811</v>
      </c>
      <c r="B192">
        <v>117</v>
      </c>
      <c r="C192">
        <v>117</v>
      </c>
      <c r="D192" s="2">
        <v>0.28999999999999998</v>
      </c>
      <c r="E192" s="3">
        <v>9.9999999999999996E-24</v>
      </c>
      <c r="F192">
        <v>34.81</v>
      </c>
      <c r="G192" t="str">
        <f>HYPERLINK("https://www.ncbi.nlm.nih.gov/nucleotide/XM_011394382.1?report=genbank&amp;log$=nucltop&amp;blast_rank=87&amp;RID=0RSCT1BR013","XM_011394382.1")</f>
        <v>XM_011394382.1</v>
      </c>
    </row>
    <row r="193" spans="1:7" x14ac:dyDescent="0.35">
      <c r="A193" t="s">
        <v>176</v>
      </c>
      <c r="B193">
        <v>102</v>
      </c>
      <c r="C193">
        <v>102</v>
      </c>
      <c r="D193" s="2">
        <v>0.31</v>
      </c>
      <c r="E193" s="3">
        <v>7.0000000000000003E-19</v>
      </c>
      <c r="F193">
        <v>34.78</v>
      </c>
      <c r="G193" t="str">
        <f>HYPERLINK("https://www.ncbi.nlm.nih.gov/nucleotide/XM_003008770.1?report=genbank&amp;log$=nucltop&amp;blast_rank=88&amp;RID=0RSCT1BR013","XM_003008770.1")</f>
        <v>XM_003008770.1</v>
      </c>
    </row>
    <row r="194" spans="1:7" x14ac:dyDescent="0.35">
      <c r="A194" t="s">
        <v>186</v>
      </c>
      <c r="B194">
        <v>104</v>
      </c>
      <c r="C194">
        <v>104</v>
      </c>
      <c r="D194" s="2">
        <v>0.32</v>
      </c>
      <c r="E194" s="3">
        <v>2E-19</v>
      </c>
      <c r="F194">
        <v>34.729999999999997</v>
      </c>
      <c r="G194" t="str">
        <f>HYPERLINK("https://www.ncbi.nlm.nih.gov/nucleotide/XM_016784392.1?report=genbank&amp;log$=nucltop&amp;blast_rank=89&amp;RID=0RSCT1BR013","XM_016784392.1")</f>
        <v>XM_016784392.1</v>
      </c>
    </row>
    <row r="195" spans="1:7" x14ac:dyDescent="0.35">
      <c r="A195" s="4" t="s">
        <v>820</v>
      </c>
      <c r="B195" s="4">
        <v>110</v>
      </c>
      <c r="C195" s="4">
        <v>110</v>
      </c>
      <c r="D195" s="5">
        <v>0.24</v>
      </c>
      <c r="E195" s="6">
        <v>1.9999999999999998E-21</v>
      </c>
      <c r="F195" s="4">
        <v>34.42</v>
      </c>
      <c r="G195" s="4" t="str">
        <f>HYPERLINK("https://www.ncbi.nlm.nih.gov/nucleotide/XM_002911188.1?report=genbank&amp;log$=nucltop&amp;blast_rank=90&amp;RID=0RSCT1BR013","XM_002911188.1")</f>
        <v>XM_002911188.1</v>
      </c>
    </row>
    <row r="196" spans="1:7" x14ac:dyDescent="0.35">
      <c r="A196" t="s">
        <v>139</v>
      </c>
      <c r="B196">
        <v>102</v>
      </c>
      <c r="C196">
        <v>102</v>
      </c>
      <c r="D196" s="2">
        <v>0.32</v>
      </c>
      <c r="E196" s="3">
        <v>7.9999999999999998E-19</v>
      </c>
      <c r="F196">
        <v>34.340000000000003</v>
      </c>
      <c r="G196" t="str">
        <f>HYPERLINK("https://www.ncbi.nlm.nih.gov/nucleotide/XM_016364210.1?report=genbank&amp;log$=nucltop&amp;blast_rank=91&amp;RID=0RSCT1BR013","XM_016364210.1")</f>
        <v>XM_016364210.1</v>
      </c>
    </row>
    <row r="197" spans="1:7" x14ac:dyDescent="0.35">
      <c r="A197" t="s">
        <v>190</v>
      </c>
      <c r="B197">
        <v>117</v>
      </c>
      <c r="C197">
        <v>117</v>
      </c>
      <c r="D197" s="2">
        <v>0.3</v>
      </c>
      <c r="E197" s="3">
        <v>1.9999999999999999E-23</v>
      </c>
      <c r="F197">
        <v>33.869999999999997</v>
      </c>
      <c r="G197" t="str">
        <f>HYPERLINK("https://www.ncbi.nlm.nih.gov/nucleotide/HG529702.1?report=genbank&amp;log$=nucltop&amp;blast_rank=92&amp;RID=0RSCT1BR013","HG529702.1")</f>
        <v>HG529702.1</v>
      </c>
    </row>
    <row r="198" spans="1:7" x14ac:dyDescent="0.35">
      <c r="A198" t="s">
        <v>194</v>
      </c>
      <c r="B198">
        <v>110</v>
      </c>
      <c r="C198">
        <v>110</v>
      </c>
      <c r="D198" s="2">
        <v>0.36</v>
      </c>
      <c r="E198" s="3">
        <v>9.9999999999999991E-22</v>
      </c>
      <c r="F198">
        <v>33.33</v>
      </c>
      <c r="G198" t="str">
        <f>HYPERLINK("https://www.ncbi.nlm.nih.gov/nucleotide/XM_007392158.1?report=genbank&amp;log$=nucltop&amp;blast_rank=93&amp;RID=0RSCT1BR013","XM_007392158.1")</f>
        <v>XM_007392158.1</v>
      </c>
    </row>
    <row r="199" spans="1:7" x14ac:dyDescent="0.35">
      <c r="A199" t="s">
        <v>193</v>
      </c>
      <c r="B199">
        <v>97.8</v>
      </c>
      <c r="C199">
        <v>97.8</v>
      </c>
      <c r="D199" s="2">
        <v>0.25</v>
      </c>
      <c r="E199" s="3">
        <v>9.9999999999999998E-20</v>
      </c>
      <c r="F199">
        <v>33.33</v>
      </c>
      <c r="G199" t="str">
        <f>HYPERLINK("https://www.ncbi.nlm.nih.gov/nucleotide/XM_025490272.1?report=genbank&amp;log$=nucltop&amp;blast_rank=94&amp;RID=0RSCT1BR013","XM_025490272.1")</f>
        <v>XM_025490272.1</v>
      </c>
    </row>
    <row r="200" spans="1:7" x14ac:dyDescent="0.35">
      <c r="A200" t="s">
        <v>155</v>
      </c>
      <c r="B200">
        <v>102</v>
      </c>
      <c r="C200">
        <v>102</v>
      </c>
      <c r="D200" s="2">
        <v>0.32</v>
      </c>
      <c r="E200" s="3">
        <v>5.9999999999999999E-19</v>
      </c>
      <c r="F200">
        <v>32.93</v>
      </c>
      <c r="G200" t="str">
        <f>HYPERLINK("https://www.ncbi.nlm.nih.gov/nucleotide/XM_022639301.1?report=genbank&amp;log$=nucltop&amp;blast_rank=95&amp;RID=0RSCT1BR013","XM_022639301.1")</f>
        <v>XM_022639301.1</v>
      </c>
    </row>
    <row r="201" spans="1:7" x14ac:dyDescent="0.35">
      <c r="A201" t="s">
        <v>156</v>
      </c>
      <c r="B201">
        <v>102</v>
      </c>
      <c r="C201">
        <v>102</v>
      </c>
      <c r="D201" s="2">
        <v>0.32</v>
      </c>
      <c r="E201" s="3">
        <v>7.0000000000000003E-19</v>
      </c>
      <c r="F201">
        <v>32.93</v>
      </c>
      <c r="G201" t="str">
        <f>HYPERLINK("https://www.ncbi.nlm.nih.gov/nucleotide/XM_013424715.1?report=genbank&amp;log$=nucltop&amp;blast_rank=96&amp;RID=0RSCT1BR013","XM_013424715.1")</f>
        <v>XM_013424715.1</v>
      </c>
    </row>
    <row r="202" spans="1:7" x14ac:dyDescent="0.35">
      <c r="A202" t="s">
        <v>19</v>
      </c>
      <c r="B202">
        <v>104</v>
      </c>
      <c r="C202">
        <v>104</v>
      </c>
      <c r="D202" s="2">
        <v>0.27</v>
      </c>
      <c r="E202" s="3">
        <v>2E-19</v>
      </c>
      <c r="F202">
        <v>32</v>
      </c>
      <c r="G202" t="str">
        <f>HYPERLINK("https://www.ncbi.nlm.nih.gov/nucleotide/XM_001877176.1?report=genbank&amp;log$=nucltop&amp;blast_rank=97&amp;RID=0RSCT1BR013","XM_001877176.1")</f>
        <v>XM_001877176.1</v>
      </c>
    </row>
    <row r="203" spans="1:7" x14ac:dyDescent="0.35">
      <c r="A203" t="s">
        <v>940</v>
      </c>
      <c r="B203">
        <v>102</v>
      </c>
      <c r="C203">
        <v>102</v>
      </c>
      <c r="D203" s="2">
        <v>0.25</v>
      </c>
      <c r="E203" s="3">
        <v>7.9999999999999998E-19</v>
      </c>
      <c r="F203">
        <v>31.43</v>
      </c>
      <c r="G203" t="str">
        <f>HYPERLINK("https://www.ncbi.nlm.nih.gov/nucleotide/XM_019135230.1?report=genbank&amp;log$=nucltop&amp;blast_rank=98&amp;RID=0RSCT1BR013","XM_019135230.1")</f>
        <v>XM_019135230.1</v>
      </c>
    </row>
    <row r="204" spans="1:7" x14ac:dyDescent="0.35">
      <c r="A204" t="s">
        <v>941</v>
      </c>
      <c r="B204">
        <v>102</v>
      </c>
      <c r="C204">
        <v>102</v>
      </c>
      <c r="D204" s="2">
        <v>0.25</v>
      </c>
      <c r="E204" s="3">
        <v>1.0000000000000001E-18</v>
      </c>
      <c r="F204">
        <v>31.43</v>
      </c>
      <c r="G204" t="str">
        <f>HYPERLINK("https://www.ncbi.nlm.nih.gov/nucleotide/XM_019178167.1?report=genbank&amp;log$=nucltop&amp;blast_rank=99&amp;RID=0RSCT1BR013","XM_019178167.1")</f>
        <v>XM_019178167.1</v>
      </c>
    </row>
    <row r="205" spans="1:7" x14ac:dyDescent="0.35">
      <c r="A205" t="s">
        <v>189</v>
      </c>
      <c r="B205">
        <v>122</v>
      </c>
      <c r="C205">
        <v>122</v>
      </c>
      <c r="D205" s="2">
        <v>0.37</v>
      </c>
      <c r="E205" s="3">
        <v>4.0000000000000002E-25</v>
      </c>
      <c r="F205">
        <v>31.27</v>
      </c>
      <c r="G205" t="str">
        <f>HYPERLINK("https://www.ncbi.nlm.nih.gov/nucleotide/XM_007407308.1?report=genbank&amp;log$=nucltop&amp;blast_rank=100&amp;RID=0RSCT1BR013","XM_007407308.1")</f>
        <v>XM_007407308.1</v>
      </c>
    </row>
    <row r="206" spans="1:7" x14ac:dyDescent="0.35">
      <c r="A206" s="1" t="s">
        <v>942</v>
      </c>
    </row>
    <row r="207" spans="1:7" x14ac:dyDescent="0.35">
      <c r="A207" s="1" t="s">
        <v>2</v>
      </c>
      <c r="B207" s="1" t="s">
        <v>3</v>
      </c>
      <c r="C207" s="1" t="s">
        <v>4</v>
      </c>
      <c r="D207" s="1" t="s">
        <v>5</v>
      </c>
      <c r="E207" s="1" t="s">
        <v>6</v>
      </c>
      <c r="F207" s="1" t="s">
        <v>7</v>
      </c>
      <c r="G207" s="1" t="s">
        <v>8</v>
      </c>
    </row>
    <row r="208" spans="1:7" x14ac:dyDescent="0.35">
      <c r="A208" t="s">
        <v>198</v>
      </c>
      <c r="B208">
        <v>273</v>
      </c>
      <c r="C208">
        <v>273</v>
      </c>
      <c r="D208" s="2">
        <v>0.93</v>
      </c>
      <c r="E208" s="3">
        <v>8.0000000000000001E-87</v>
      </c>
      <c r="F208">
        <v>58.12</v>
      </c>
      <c r="G208" t="str">
        <f>HYPERLINK("https://www.ncbi.nlm.nih.gov/nucleotide/XM_007870715.1?report=genbank&amp;log$=nucltop&amp;blast_rank=1&amp;RID=0RSEE7F6013","XM_007870715.1")</f>
        <v>XM_007870715.1</v>
      </c>
    </row>
    <row r="209" spans="1:7" x14ac:dyDescent="0.35">
      <c r="A209" t="s">
        <v>9</v>
      </c>
      <c r="B209">
        <v>142</v>
      </c>
      <c r="C209">
        <v>358</v>
      </c>
      <c r="D209" s="2">
        <v>0.98</v>
      </c>
      <c r="E209" s="3">
        <v>1.9999999999999999E-82</v>
      </c>
      <c r="F209">
        <v>57.45</v>
      </c>
      <c r="G209" t="str">
        <f>HYPERLINK("https://www.ncbi.nlm.nih.gov/nucleotide/LR732079.1?report=genbank&amp;log$=nucltop&amp;blast_rank=2&amp;RID=0RSEE7F6013","LR732079.1")</f>
        <v>LR732079.1</v>
      </c>
    </row>
    <row r="210" spans="1:7" x14ac:dyDescent="0.35">
      <c r="A210" t="s">
        <v>204</v>
      </c>
      <c r="B210">
        <v>259</v>
      </c>
      <c r="C210">
        <v>259</v>
      </c>
      <c r="D210" s="2">
        <v>0.92</v>
      </c>
      <c r="E210" s="3">
        <v>3.9999999999999998E-81</v>
      </c>
      <c r="F210">
        <v>57.14</v>
      </c>
      <c r="G210" t="str">
        <f>HYPERLINK("https://www.ncbi.nlm.nih.gov/nucleotide/XM_008041438.1?report=genbank&amp;log$=nucltop&amp;blast_rank=3&amp;RID=0RSEE7F6013","XM_008041438.1")</f>
        <v>XM_008041438.1</v>
      </c>
    </row>
    <row r="211" spans="1:7" x14ac:dyDescent="0.35">
      <c r="A211" t="s">
        <v>21</v>
      </c>
      <c r="B211">
        <v>231</v>
      </c>
      <c r="C211">
        <v>231</v>
      </c>
      <c r="D211" s="2">
        <v>0.78</v>
      </c>
      <c r="E211" s="3">
        <v>6.0000000000000003E-73</v>
      </c>
      <c r="F211">
        <v>57.14</v>
      </c>
      <c r="G211" t="str">
        <f>HYPERLINK("https://www.ncbi.nlm.nih.gov/nucleotide/XM_009546989.1?report=genbank&amp;log$=nucltop&amp;blast_rank=4&amp;RID=0RSEE7F6013","XM_009546989.1")</f>
        <v>XM_009546989.1</v>
      </c>
    </row>
    <row r="212" spans="1:7" x14ac:dyDescent="0.35">
      <c r="A212" t="s">
        <v>201</v>
      </c>
      <c r="B212">
        <v>259</v>
      </c>
      <c r="C212">
        <v>259</v>
      </c>
      <c r="D212" s="2">
        <v>0.93</v>
      </c>
      <c r="E212" s="3">
        <v>1.9999999999999999E-80</v>
      </c>
      <c r="F212">
        <v>55.6</v>
      </c>
      <c r="G212" t="str">
        <f>HYPERLINK("https://www.ncbi.nlm.nih.gov/nucleotide/XM_027763129.1?report=genbank&amp;log$=nucltop&amp;blast_rank=5&amp;RID=0RSEE7F6013","XM_027763129.1")</f>
        <v>XM_027763129.1</v>
      </c>
    </row>
    <row r="213" spans="1:7" x14ac:dyDescent="0.35">
      <c r="A213" t="s">
        <v>200</v>
      </c>
      <c r="B213">
        <v>259</v>
      </c>
      <c r="C213">
        <v>259</v>
      </c>
      <c r="D213" s="2">
        <v>0.9</v>
      </c>
      <c r="E213" s="3">
        <v>2E-79</v>
      </c>
      <c r="F213">
        <v>55.56</v>
      </c>
      <c r="G213" t="str">
        <f>HYPERLINK("https://www.ncbi.nlm.nih.gov/nucleotide/XM_003029540.1?report=genbank&amp;log$=nucltop&amp;blast_rank=6&amp;RID=0RSEE7F6013","XM_003029540.1")</f>
        <v>XM_003029540.1</v>
      </c>
    </row>
    <row r="214" spans="1:7" x14ac:dyDescent="0.35">
      <c r="A214" t="s">
        <v>18</v>
      </c>
      <c r="B214">
        <v>161</v>
      </c>
      <c r="C214">
        <v>161</v>
      </c>
      <c r="D214" s="2">
        <v>0.54</v>
      </c>
      <c r="E214" s="3">
        <v>4.9999999999999996E-41</v>
      </c>
      <c r="F214">
        <v>55.13</v>
      </c>
      <c r="G214" t="str">
        <f>HYPERLINK("https://www.ncbi.nlm.nih.gov/nucleotide/CP015474.1?report=genbank&amp;log$=nucltop&amp;blast_rank=7&amp;RID=0RSEE7F6013","CP015474.1")</f>
        <v>CP015474.1</v>
      </c>
    </row>
    <row r="215" spans="1:7" x14ac:dyDescent="0.35">
      <c r="A215" t="s">
        <v>17</v>
      </c>
      <c r="B215">
        <v>161</v>
      </c>
      <c r="C215">
        <v>161</v>
      </c>
      <c r="D215" s="2">
        <v>0.54</v>
      </c>
      <c r="E215" s="3">
        <v>4.9999999999999996E-41</v>
      </c>
      <c r="F215">
        <v>55.13</v>
      </c>
      <c r="G215" t="str">
        <f>HYPERLINK("https://www.ncbi.nlm.nih.gov/nucleotide/CP015461.1?report=genbank&amp;log$=nucltop&amp;blast_rank=8&amp;RID=0RSEE7F6013","CP015461.1")</f>
        <v>CP015461.1</v>
      </c>
    </row>
    <row r="216" spans="1:7" x14ac:dyDescent="0.35">
      <c r="A216" t="s">
        <v>16</v>
      </c>
      <c r="B216">
        <v>161</v>
      </c>
      <c r="C216">
        <v>161</v>
      </c>
      <c r="D216" s="2">
        <v>0.54</v>
      </c>
      <c r="E216" s="3">
        <v>4.9999999999999996E-41</v>
      </c>
      <c r="F216">
        <v>55.13</v>
      </c>
      <c r="G216" t="str">
        <f>HYPERLINK("https://www.ncbi.nlm.nih.gov/nucleotide/CP039877.1?report=genbank&amp;log$=nucltop&amp;blast_rank=9&amp;RID=0RSEE7F6013","CP039877.1")</f>
        <v>CP039877.1</v>
      </c>
    </row>
    <row r="217" spans="1:7" x14ac:dyDescent="0.35">
      <c r="A217" t="s">
        <v>199</v>
      </c>
      <c r="B217">
        <v>257</v>
      </c>
      <c r="C217">
        <v>257</v>
      </c>
      <c r="D217" s="2">
        <v>0.94</v>
      </c>
      <c r="E217" s="3">
        <v>9.9999999999999996E-81</v>
      </c>
      <c r="F217">
        <v>53.62</v>
      </c>
      <c r="G217" t="str">
        <f>HYPERLINK("https://www.ncbi.nlm.nih.gov/nucleotide/XM_007393489.1?report=genbank&amp;log$=nucltop&amp;blast_rank=10&amp;RID=0RSEE7F6013","XM_007393489.1")</f>
        <v>XM_007393489.1</v>
      </c>
    </row>
    <row r="218" spans="1:7" x14ac:dyDescent="0.35">
      <c r="A218" t="s">
        <v>202</v>
      </c>
      <c r="B218">
        <v>259</v>
      </c>
      <c r="C218">
        <v>259</v>
      </c>
      <c r="D218" s="2">
        <v>0.95</v>
      </c>
      <c r="E218" s="3">
        <v>6.0000000000000002E-83</v>
      </c>
      <c r="F218">
        <v>53.5</v>
      </c>
      <c r="G218" t="str">
        <f>HYPERLINK("https://www.ncbi.nlm.nih.gov/nucleotide/XM_007389005.1?report=genbank&amp;log$=nucltop&amp;blast_rank=11&amp;RID=0RSEE7F6013","XM_007389005.1")</f>
        <v>XM_007389005.1</v>
      </c>
    </row>
    <row r="219" spans="1:7" x14ac:dyDescent="0.35">
      <c r="A219" t="s">
        <v>206</v>
      </c>
      <c r="B219">
        <v>255</v>
      </c>
      <c r="C219">
        <v>255</v>
      </c>
      <c r="D219" s="2">
        <v>0.93</v>
      </c>
      <c r="E219" s="3">
        <v>7.9999999999999997E-80</v>
      </c>
      <c r="F219">
        <v>53.45</v>
      </c>
      <c r="G219" t="str">
        <f>HYPERLINK("https://www.ncbi.nlm.nih.gov/nucleotide/XM_024477854.1?report=genbank&amp;log$=nucltop&amp;blast_rank=12&amp;RID=0RSEE7F6013","XM_024477854.1")</f>
        <v>XM_024477854.1</v>
      </c>
    </row>
    <row r="220" spans="1:7" x14ac:dyDescent="0.35">
      <c r="A220" t="s">
        <v>203</v>
      </c>
      <c r="B220">
        <v>239</v>
      </c>
      <c r="C220">
        <v>239</v>
      </c>
      <c r="D220" s="2">
        <v>0.93</v>
      </c>
      <c r="E220" s="3">
        <v>9.9999999999999996E-75</v>
      </c>
      <c r="F220">
        <v>53.14</v>
      </c>
      <c r="G220" t="str">
        <f>HYPERLINK("https://www.ncbi.nlm.nih.gov/nucleotide/XM_007263367.1?report=genbank&amp;log$=nucltop&amp;blast_rank=13&amp;RID=0RSEE7F6013","XM_007263367.1")</f>
        <v>XM_007263367.1</v>
      </c>
    </row>
    <row r="221" spans="1:7" x14ac:dyDescent="0.35">
      <c r="A221" t="s">
        <v>205</v>
      </c>
      <c r="B221">
        <v>251</v>
      </c>
      <c r="C221">
        <v>251</v>
      </c>
      <c r="D221" s="2">
        <v>0.91</v>
      </c>
      <c r="E221" s="3">
        <v>2.9999999999999999E-78</v>
      </c>
      <c r="F221">
        <v>53.07</v>
      </c>
      <c r="G221" t="str">
        <f>HYPERLINK("https://www.ncbi.nlm.nih.gov/nucleotide/XM_007318641.1?report=genbank&amp;log$=nucltop&amp;blast_rank=14&amp;RID=0RSEE7F6013","XM_007318641.1")</f>
        <v>XM_007318641.1</v>
      </c>
    </row>
    <row r="222" spans="1:7" x14ac:dyDescent="0.35">
      <c r="A222" t="s">
        <v>207</v>
      </c>
      <c r="B222">
        <v>244</v>
      </c>
      <c r="C222">
        <v>244</v>
      </c>
      <c r="D222" s="2">
        <v>0.92</v>
      </c>
      <c r="E222" s="3">
        <v>3.0000000000000002E-77</v>
      </c>
      <c r="F222">
        <v>51.52</v>
      </c>
      <c r="G222" t="str">
        <f>HYPERLINK("https://www.ncbi.nlm.nih.gov/nucleotide/XM_006459159.1?report=genbank&amp;log$=nucltop&amp;blast_rank=15&amp;RID=0RSEE7F6013","XM_006459159.1")</f>
        <v>XM_006459159.1</v>
      </c>
    </row>
    <row r="223" spans="1:7" x14ac:dyDescent="0.35">
      <c r="A223" t="s">
        <v>208</v>
      </c>
      <c r="B223">
        <v>241</v>
      </c>
      <c r="C223">
        <v>241</v>
      </c>
      <c r="D223" s="2">
        <v>0.93</v>
      </c>
      <c r="E223" s="3">
        <v>6.0000000000000005E-76</v>
      </c>
      <c r="F223">
        <v>51.05</v>
      </c>
      <c r="G223" t="str">
        <f>HYPERLINK("https://www.ncbi.nlm.nih.gov/nucleotide/XM_037359090.1?report=genbank&amp;log$=nucltop&amp;blast_rank=16&amp;RID=0RSEE7F6013","XM_037359090.1")</f>
        <v>XM_037359090.1</v>
      </c>
    </row>
    <row r="224" spans="1:7" x14ac:dyDescent="0.35">
      <c r="A224" t="s">
        <v>120</v>
      </c>
      <c r="B224">
        <v>254</v>
      </c>
      <c r="C224">
        <v>254</v>
      </c>
      <c r="D224" s="2">
        <v>0.97</v>
      </c>
      <c r="E224" s="3">
        <v>2.9999999999999999E-81</v>
      </c>
      <c r="F224">
        <v>50.82</v>
      </c>
      <c r="G224" t="str">
        <f>HYPERLINK("https://www.ncbi.nlm.nih.gov/nucleotide/XM_012328136.1?report=genbank&amp;log$=nucltop&amp;blast_rank=17&amp;RID=0RSEE7F6013","XM_012328136.1")</f>
        <v>XM_012328136.1</v>
      </c>
    </row>
    <row r="225" spans="1:7" x14ac:dyDescent="0.35">
      <c r="A225" t="s">
        <v>217</v>
      </c>
      <c r="B225">
        <v>240</v>
      </c>
      <c r="C225">
        <v>240</v>
      </c>
      <c r="D225" s="2">
        <v>0.93</v>
      </c>
      <c r="E225" s="3">
        <v>1.9999999999999999E-75</v>
      </c>
      <c r="F225">
        <v>49.57</v>
      </c>
      <c r="G225" t="str">
        <f>HYPERLINK("https://www.ncbi.nlm.nih.gov/nucleotide/XM_007362271.1?report=genbank&amp;log$=nucltop&amp;blast_rank=18&amp;RID=0RSEE7F6013","XM_007362271.1")</f>
        <v>XM_007362271.1</v>
      </c>
    </row>
    <row r="226" spans="1:7" x14ac:dyDescent="0.35">
      <c r="A226" t="s">
        <v>210</v>
      </c>
      <c r="B226">
        <v>131</v>
      </c>
      <c r="C226">
        <v>131</v>
      </c>
      <c r="D226" s="2">
        <v>0.59</v>
      </c>
      <c r="E226" s="3">
        <v>1.0000000000000001E-32</v>
      </c>
      <c r="F226">
        <v>49.33</v>
      </c>
      <c r="G226" t="str">
        <f>HYPERLINK("https://www.ncbi.nlm.nih.gov/nucleotide/XM_031139192.1?report=genbank&amp;log$=nucltop&amp;blast_rank=19&amp;RID=0RSEE7F6013","XM_031139192.1")</f>
        <v>XM_031139192.1</v>
      </c>
    </row>
    <row r="227" spans="1:7" x14ac:dyDescent="0.35">
      <c r="A227" t="s">
        <v>177</v>
      </c>
      <c r="B227">
        <v>237</v>
      </c>
      <c r="C227">
        <v>237</v>
      </c>
      <c r="D227" s="2">
        <v>0.9</v>
      </c>
      <c r="E227" s="3">
        <v>2E-73</v>
      </c>
      <c r="F227">
        <v>48.67</v>
      </c>
      <c r="G227" t="str">
        <f>HYPERLINK("https://www.ncbi.nlm.nih.gov/nucleotide/XM_007767661.1?report=genbank&amp;log$=nucltop&amp;blast_rank=20&amp;RID=0RSEE7F6013","XM_007767661.1")</f>
        <v>XM_007767661.1</v>
      </c>
    </row>
    <row r="228" spans="1:7" x14ac:dyDescent="0.35">
      <c r="A228" t="s">
        <v>220</v>
      </c>
      <c r="B228">
        <v>127</v>
      </c>
      <c r="C228">
        <v>127</v>
      </c>
      <c r="D228" s="2">
        <v>0.59</v>
      </c>
      <c r="E228" s="3">
        <v>2.0000000000000002E-31</v>
      </c>
      <c r="F228">
        <v>48.03</v>
      </c>
      <c r="G228" t="str">
        <f>HYPERLINK("https://www.ncbi.nlm.nih.gov/nucleotide/XM_001819228.3?report=genbank&amp;log$=nucltop&amp;blast_rank=21&amp;RID=0RSEE7F6013","XM_001819228.3")</f>
        <v>XM_001819228.3</v>
      </c>
    </row>
    <row r="229" spans="1:7" x14ac:dyDescent="0.35">
      <c r="A229" t="s">
        <v>107</v>
      </c>
      <c r="B229">
        <v>178</v>
      </c>
      <c r="C229">
        <v>178</v>
      </c>
      <c r="D229" s="2">
        <v>0.7</v>
      </c>
      <c r="E229" s="3">
        <v>7.9999999999999998E-47</v>
      </c>
      <c r="F229">
        <v>47.44</v>
      </c>
      <c r="G229" t="str">
        <f>HYPERLINK("https://www.ncbi.nlm.nih.gov/nucleotide/CP019380.1?report=genbank&amp;log$=nucltop&amp;blast_rank=22&amp;RID=0RSEE7F6013","CP019380.1")</f>
        <v>CP019380.1</v>
      </c>
    </row>
    <row r="230" spans="1:7" x14ac:dyDescent="0.35">
      <c r="A230" t="s">
        <v>215</v>
      </c>
      <c r="B230">
        <v>227</v>
      </c>
      <c r="C230">
        <v>227</v>
      </c>
      <c r="D230" s="2">
        <v>0.97</v>
      </c>
      <c r="E230" s="3">
        <v>7.9999999999999993E-71</v>
      </c>
      <c r="F230">
        <v>46.28</v>
      </c>
      <c r="G230" t="str">
        <f>HYPERLINK("https://www.ncbi.nlm.nih.gov/nucleotide/XM_007299197.1?report=genbank&amp;log$=nucltop&amp;blast_rank=23&amp;RID=0RSEE7F6013","XM_007299197.1")</f>
        <v>XM_007299197.1</v>
      </c>
    </row>
    <row r="231" spans="1:7" x14ac:dyDescent="0.35">
      <c r="A231" s="4" t="s">
        <v>223</v>
      </c>
      <c r="B231" s="4">
        <v>126</v>
      </c>
      <c r="C231" s="4">
        <v>126</v>
      </c>
      <c r="D231" s="5">
        <v>0.61</v>
      </c>
      <c r="E231" s="6">
        <v>4.0000000000000003E-31</v>
      </c>
      <c r="F231" s="4">
        <v>45.51</v>
      </c>
      <c r="G231" s="4" t="str">
        <f>HYPERLINK("https://www.ncbi.nlm.nih.gov/nucleotide/XM_018807475.1?report=genbank&amp;log$=nucltop&amp;blast_rank=24&amp;RID=0RSEE7F6013","XM_018807475.1")</f>
        <v>XM_018807475.1</v>
      </c>
    </row>
    <row r="232" spans="1:7" x14ac:dyDescent="0.35">
      <c r="A232" t="s">
        <v>228</v>
      </c>
      <c r="B232">
        <v>131</v>
      </c>
      <c r="C232">
        <v>131</v>
      </c>
      <c r="D232" s="2">
        <v>0.6</v>
      </c>
      <c r="E232" s="3">
        <v>1.0000000000000001E-30</v>
      </c>
      <c r="F232">
        <v>45.16</v>
      </c>
      <c r="G232" t="str">
        <f>HYPERLINK("https://www.ncbi.nlm.nih.gov/nucleotide/LR026965.1?report=genbank&amp;log$=nucltop&amp;blast_rank=25&amp;RID=0RSEE7F6013","LR026965.1")</f>
        <v>LR026965.1</v>
      </c>
    </row>
    <row r="233" spans="1:7" x14ac:dyDescent="0.35">
      <c r="A233" t="s">
        <v>234</v>
      </c>
      <c r="B233">
        <v>137</v>
      </c>
      <c r="C233">
        <v>137</v>
      </c>
      <c r="D233" s="2">
        <v>0.77</v>
      </c>
      <c r="E233" s="3">
        <v>2.0000000000000001E-33</v>
      </c>
      <c r="F233">
        <v>44.5</v>
      </c>
      <c r="G233" t="str">
        <f>HYPERLINK("https://www.ncbi.nlm.nih.gov/nucleotide/XM_003662060.1?report=genbank&amp;log$=nucltop&amp;blast_rank=26&amp;RID=0RSEE7F6013","XM_003662060.1")</f>
        <v>XM_003662060.1</v>
      </c>
    </row>
    <row r="234" spans="1:7" x14ac:dyDescent="0.35">
      <c r="A234" t="s">
        <v>231</v>
      </c>
      <c r="B234">
        <v>166</v>
      </c>
      <c r="C234">
        <v>166</v>
      </c>
      <c r="D234" s="2">
        <v>0.81</v>
      </c>
      <c r="E234" s="3">
        <v>6.9999999999999996E-47</v>
      </c>
      <c r="F234">
        <v>43.96</v>
      </c>
      <c r="G234" t="str">
        <f>HYPERLINK("https://www.ncbi.nlm.nih.gov/nucleotide/XM_011122679.1?report=genbank&amp;log$=nucltop&amp;blast_rank=27&amp;RID=0RSEE7F6013","XM_011122679.1")</f>
        <v>XM_011122679.1</v>
      </c>
    </row>
    <row r="235" spans="1:7" x14ac:dyDescent="0.35">
      <c r="A235" t="s">
        <v>233</v>
      </c>
      <c r="B235">
        <v>150</v>
      </c>
      <c r="C235">
        <v>150</v>
      </c>
      <c r="D235" s="2">
        <v>0.81</v>
      </c>
      <c r="E235" s="3">
        <v>1.9999999999999999E-40</v>
      </c>
      <c r="F235">
        <v>43.75</v>
      </c>
      <c r="G235" t="str">
        <f>HYPERLINK("https://www.ncbi.nlm.nih.gov/nucleotide/XM_002842253.1?report=genbank&amp;log$=nucltop&amp;blast_rank=28&amp;RID=0RSEE7F6013","XM_002842253.1")</f>
        <v>XM_002842253.1</v>
      </c>
    </row>
    <row r="236" spans="1:7" x14ac:dyDescent="0.35">
      <c r="A236" t="s">
        <v>232</v>
      </c>
      <c r="B236">
        <v>147</v>
      </c>
      <c r="C236">
        <v>147</v>
      </c>
      <c r="D236" s="2">
        <v>0.77</v>
      </c>
      <c r="E236" s="3">
        <v>9.0000000000000002E-39</v>
      </c>
      <c r="F236">
        <v>43.72</v>
      </c>
      <c r="G236" t="str">
        <f>HYPERLINK("https://www.ncbi.nlm.nih.gov/nucleotide/XM_003352052.1?report=genbank&amp;log$=nucltop&amp;blast_rank=29&amp;RID=0RSEE7F6013","XM_003352052.1")</f>
        <v>XM_003352052.1</v>
      </c>
    </row>
    <row r="237" spans="1:7" x14ac:dyDescent="0.35">
      <c r="A237" s="4" t="s">
        <v>235</v>
      </c>
      <c r="B237" s="4">
        <v>145</v>
      </c>
      <c r="C237" s="4">
        <v>145</v>
      </c>
      <c r="D237" s="5">
        <v>0.77</v>
      </c>
      <c r="E237" s="6">
        <v>7.9999999999999995E-36</v>
      </c>
      <c r="F237" s="4">
        <v>43.72</v>
      </c>
      <c r="G237" s="4" t="str">
        <f>HYPERLINK("https://www.ncbi.nlm.nih.gov/nucleotide/XM_955647.2?report=genbank&amp;log$=nucltop&amp;blast_rank=30&amp;RID=0RSEE7F6013","XM_955647.2")</f>
        <v>XM_955647.2</v>
      </c>
    </row>
    <row r="238" spans="1:7" x14ac:dyDescent="0.35">
      <c r="A238" t="s">
        <v>242</v>
      </c>
      <c r="B238">
        <v>146</v>
      </c>
      <c r="C238">
        <v>146</v>
      </c>
      <c r="D238" s="2">
        <v>0.77</v>
      </c>
      <c r="E238" s="3">
        <v>9.9999999999999996E-39</v>
      </c>
      <c r="F238">
        <v>43.59</v>
      </c>
      <c r="G238" t="str">
        <f>HYPERLINK("https://www.ncbi.nlm.nih.gov/nucleotide/XM_007295640.1?report=genbank&amp;log$=nucltop&amp;blast_rank=31&amp;RID=0RSEE7F6013","XM_007295640.1")</f>
        <v>XM_007295640.1</v>
      </c>
    </row>
    <row r="239" spans="1:7" x14ac:dyDescent="0.35">
      <c r="A239" t="s">
        <v>244</v>
      </c>
      <c r="B239">
        <v>146</v>
      </c>
      <c r="C239">
        <v>146</v>
      </c>
      <c r="D239" s="2">
        <v>0.77</v>
      </c>
      <c r="E239" s="3">
        <v>9.9999999999999996E-39</v>
      </c>
      <c r="F239">
        <v>43.43</v>
      </c>
      <c r="G239" t="str">
        <f>HYPERLINK("https://www.ncbi.nlm.nih.gov/nucleotide/XM_008081488.1?report=genbank&amp;log$=nucltop&amp;blast_rank=32&amp;RID=0RSEE7F6013","XM_008081488.1")</f>
        <v>XM_008081488.1</v>
      </c>
    </row>
    <row r="240" spans="1:7" x14ac:dyDescent="0.35">
      <c r="A240" t="s">
        <v>239</v>
      </c>
      <c r="B240">
        <v>145</v>
      </c>
      <c r="C240">
        <v>145</v>
      </c>
      <c r="D240" s="2">
        <v>0.77</v>
      </c>
      <c r="E240" s="3">
        <v>2E-35</v>
      </c>
      <c r="F240">
        <v>43.37</v>
      </c>
      <c r="G240" t="str">
        <f>HYPERLINK("https://www.ncbi.nlm.nih.gov/nucleotide/AL451013.1?report=genbank&amp;log$=nucltop&amp;blast_rank=33&amp;RID=0RSEE7F6013","AL451013.1")</f>
        <v>AL451013.1</v>
      </c>
    </row>
    <row r="241" spans="1:7" x14ac:dyDescent="0.35">
      <c r="A241" t="s">
        <v>246</v>
      </c>
      <c r="B241">
        <v>144</v>
      </c>
      <c r="C241">
        <v>144</v>
      </c>
      <c r="D241" s="2">
        <v>0.77</v>
      </c>
      <c r="E241" s="3">
        <v>4.9999999999999997E-37</v>
      </c>
      <c r="F241">
        <v>43.22</v>
      </c>
      <c r="G241" t="str">
        <f>HYPERLINK("https://www.ncbi.nlm.nih.gov/nucleotide/XM_009850061.1?report=genbank&amp;log$=nucltop&amp;blast_rank=34&amp;RID=0RSEE7F6013","XM_009850061.1")</f>
        <v>XM_009850061.1</v>
      </c>
    </row>
    <row r="242" spans="1:7" x14ac:dyDescent="0.35">
      <c r="A242" t="s">
        <v>245</v>
      </c>
      <c r="B242">
        <v>199</v>
      </c>
      <c r="C242">
        <v>199</v>
      </c>
      <c r="D242" s="2">
        <v>0.95</v>
      </c>
      <c r="E242" s="3">
        <v>5.0000000000000001E-60</v>
      </c>
      <c r="F242">
        <v>42.92</v>
      </c>
      <c r="G242" t="str">
        <f>HYPERLINK("https://www.ncbi.nlm.nih.gov/nucleotide/XM_001836371.2?report=genbank&amp;log$=nucltop&amp;blast_rank=35&amp;RID=0RSEE7F6013","XM_001836371.2")</f>
        <v>XM_001836371.2</v>
      </c>
    </row>
    <row r="243" spans="1:7" x14ac:dyDescent="0.35">
      <c r="A243" t="s">
        <v>254</v>
      </c>
      <c r="B243">
        <v>152</v>
      </c>
      <c r="C243">
        <v>152</v>
      </c>
      <c r="D243" s="2">
        <v>0.8</v>
      </c>
      <c r="E243" s="3">
        <v>2.9999999999999999E-41</v>
      </c>
      <c r="F243">
        <v>42.86</v>
      </c>
      <c r="G243" t="str">
        <f>HYPERLINK("https://www.ncbi.nlm.nih.gov/nucleotide/XM_018276579.1?report=genbank&amp;log$=nucltop&amp;blast_rank=36&amp;RID=0RSEE7F6013","XM_018276579.1")</f>
        <v>XM_018276579.1</v>
      </c>
    </row>
    <row r="244" spans="1:7" x14ac:dyDescent="0.35">
      <c r="A244" s="4" t="s">
        <v>282</v>
      </c>
      <c r="B244" s="4">
        <v>151</v>
      </c>
      <c r="C244" s="4">
        <v>151</v>
      </c>
      <c r="D244" s="5">
        <v>0.8</v>
      </c>
      <c r="E244" s="6">
        <v>9.0000000000000002E-41</v>
      </c>
      <c r="F244" s="4">
        <v>42.86</v>
      </c>
      <c r="G244" s="4" t="str">
        <f>HYPERLINK("https://www.ncbi.nlm.nih.gov/nucleotide/XM_031153619.1?report=genbank&amp;log$=nucltop&amp;blast_rank=37&amp;RID=0RSEE7F6013","XM_031153619.1")</f>
        <v>XM_031153619.1</v>
      </c>
    </row>
    <row r="245" spans="1:7" x14ac:dyDescent="0.35">
      <c r="A245" t="s">
        <v>218</v>
      </c>
      <c r="B245">
        <v>149</v>
      </c>
      <c r="C245">
        <v>149</v>
      </c>
      <c r="D245" s="2">
        <v>0.79</v>
      </c>
      <c r="E245" s="3">
        <v>9.9999999999999993E-40</v>
      </c>
      <c r="F245">
        <v>42.5</v>
      </c>
      <c r="G245" t="str">
        <f>HYPERLINK("https://www.ncbi.nlm.nih.gov/nucleotide/XM_033831227.1?report=genbank&amp;log$=nucltop&amp;blast_rank=38&amp;RID=0RSEE7F6013","XM_033831227.1")</f>
        <v>XM_033831227.1</v>
      </c>
    </row>
    <row r="246" spans="1:7" x14ac:dyDescent="0.35">
      <c r="A246" t="s">
        <v>247</v>
      </c>
      <c r="B246">
        <v>150</v>
      </c>
      <c r="C246">
        <v>150</v>
      </c>
      <c r="D246" s="2">
        <v>0.79</v>
      </c>
      <c r="E246" s="3">
        <v>3.9999999999999998E-38</v>
      </c>
      <c r="F246">
        <v>42.5</v>
      </c>
      <c r="G246" t="str">
        <f>HYPERLINK("https://www.ncbi.nlm.nih.gov/nucleotide/XM_033744228.1?report=genbank&amp;log$=nucltop&amp;blast_rank=39&amp;RID=0RSEE7F6013","XM_033744228.1")</f>
        <v>XM_033744228.1</v>
      </c>
    </row>
    <row r="247" spans="1:7" x14ac:dyDescent="0.35">
      <c r="A247" t="s">
        <v>255</v>
      </c>
      <c r="B247">
        <v>145</v>
      </c>
      <c r="C247">
        <v>145</v>
      </c>
      <c r="D247" s="2">
        <v>0.77</v>
      </c>
      <c r="E247" s="3">
        <v>9.9999999999999994E-37</v>
      </c>
      <c r="F247">
        <v>42.42</v>
      </c>
      <c r="G247" t="str">
        <f>HYPERLINK("https://www.ncbi.nlm.nih.gov/nucleotide/XM_033533880.1?report=genbank&amp;log$=nucltop&amp;blast_rank=40&amp;RID=0RSEE7F6013","XM_033533880.1")</f>
        <v>XM_033533880.1</v>
      </c>
    </row>
    <row r="248" spans="1:7" x14ac:dyDescent="0.35">
      <c r="A248" s="4" t="s">
        <v>256</v>
      </c>
      <c r="B248" s="4">
        <v>134</v>
      </c>
      <c r="C248" s="4">
        <v>134</v>
      </c>
      <c r="D248" s="5">
        <v>0.81</v>
      </c>
      <c r="E248" s="6">
        <v>9.0000000000000001E-32</v>
      </c>
      <c r="F248" s="4">
        <v>42.38</v>
      </c>
      <c r="G248" s="4" t="str">
        <f>HYPERLINK("https://www.ncbi.nlm.nih.gov/nucleotide/XM_031720476.1?report=genbank&amp;log$=nucltop&amp;blast_rank=41&amp;RID=0RSEE7F6013","XM_031720476.1")</f>
        <v>XM_031720476.1</v>
      </c>
    </row>
    <row r="249" spans="1:7" x14ac:dyDescent="0.35">
      <c r="A249" t="s">
        <v>236</v>
      </c>
      <c r="B249">
        <v>132</v>
      </c>
      <c r="C249">
        <v>132</v>
      </c>
      <c r="D249" s="2">
        <v>0.81</v>
      </c>
      <c r="E249" s="3">
        <v>1.0000000000000001E-32</v>
      </c>
      <c r="F249">
        <v>42.31</v>
      </c>
      <c r="G249" t="str">
        <f>HYPERLINK("https://www.ncbi.nlm.nih.gov/nucleotide/XM_003649649.1?report=genbank&amp;log$=nucltop&amp;blast_rank=42&amp;RID=0RSEE7F6013","XM_003649649.1")</f>
        <v>XM_003649649.1</v>
      </c>
    </row>
    <row r="250" spans="1:7" x14ac:dyDescent="0.35">
      <c r="A250" t="s">
        <v>248</v>
      </c>
      <c r="B250">
        <v>136</v>
      </c>
      <c r="C250">
        <v>136</v>
      </c>
      <c r="D250" s="2">
        <v>0.79</v>
      </c>
      <c r="E250" s="3">
        <v>5.0000000000000003E-34</v>
      </c>
      <c r="F250">
        <v>42.29</v>
      </c>
      <c r="G250" t="str">
        <f>HYPERLINK("https://www.ncbi.nlm.nih.gov/nucleotide/XM_007930639.1?report=genbank&amp;log$=nucltop&amp;blast_rank=43&amp;RID=0RSEE7F6013","XM_007930639.1")</f>
        <v>XM_007930639.1</v>
      </c>
    </row>
    <row r="251" spans="1:7" x14ac:dyDescent="0.35">
      <c r="A251" s="4" t="s">
        <v>739</v>
      </c>
      <c r="B251" s="4">
        <v>132</v>
      </c>
      <c r="C251" s="4">
        <v>132</v>
      </c>
      <c r="D251" s="5">
        <v>0.77</v>
      </c>
      <c r="E251" s="6">
        <v>1.0000000000000001E-31</v>
      </c>
      <c r="F251" s="4">
        <v>42.29</v>
      </c>
      <c r="G251" s="4" t="str">
        <f>HYPERLINK("https://www.ncbi.nlm.nih.gov/nucleotide/XM_024813321.1?report=genbank&amp;log$=nucltop&amp;blast_rank=44&amp;RID=0RSEE7F6013","XM_024813321.1")</f>
        <v>XM_024813321.1</v>
      </c>
    </row>
    <row r="252" spans="1:7" x14ac:dyDescent="0.35">
      <c r="A252" t="s">
        <v>221</v>
      </c>
      <c r="B252">
        <v>127</v>
      </c>
      <c r="C252">
        <v>127</v>
      </c>
      <c r="D252" s="2">
        <v>0.77</v>
      </c>
      <c r="E252" s="3">
        <v>2.0000000000000002E-31</v>
      </c>
      <c r="F252">
        <v>42.29</v>
      </c>
      <c r="G252" t="str">
        <f>HYPERLINK("https://www.ncbi.nlm.nih.gov/nucleotide/XM_022538922.1?report=genbank&amp;log$=nucltop&amp;blast_rank=45&amp;RID=0RSEE7F6013","XM_022538922.1")</f>
        <v>XM_022538922.1</v>
      </c>
    </row>
    <row r="253" spans="1:7" x14ac:dyDescent="0.35">
      <c r="A253" t="s">
        <v>252</v>
      </c>
      <c r="B253">
        <v>142</v>
      </c>
      <c r="C253">
        <v>142</v>
      </c>
      <c r="D253" s="2">
        <v>0.79</v>
      </c>
      <c r="E253" s="3">
        <v>9.9999999999999994E-37</v>
      </c>
      <c r="F253">
        <v>42.08</v>
      </c>
      <c r="G253" t="str">
        <f>HYPERLINK("https://www.ncbi.nlm.nih.gov/nucleotide/XM_018174954.1?report=genbank&amp;log$=nucltop&amp;blast_rank=46&amp;RID=0RSEE7F6013","XM_018174954.1")</f>
        <v>XM_018174954.1</v>
      </c>
    </row>
    <row r="254" spans="1:7" x14ac:dyDescent="0.35">
      <c r="A254" t="s">
        <v>253</v>
      </c>
      <c r="B254">
        <v>141</v>
      </c>
      <c r="C254">
        <v>141</v>
      </c>
      <c r="D254" s="2">
        <v>0.79</v>
      </c>
      <c r="E254" s="3">
        <v>2E-35</v>
      </c>
      <c r="F254">
        <v>42</v>
      </c>
      <c r="G254" t="str">
        <f>HYPERLINK("https://www.ncbi.nlm.nih.gov/nucleotide/XM_033719977.1?report=genbank&amp;log$=nucltop&amp;blast_rank=47&amp;RID=0RSEE7F6013","XM_033719977.1")</f>
        <v>XM_033719977.1</v>
      </c>
    </row>
    <row r="255" spans="1:7" x14ac:dyDescent="0.35">
      <c r="A255" s="4" t="s">
        <v>257</v>
      </c>
      <c r="B255" s="4">
        <v>141</v>
      </c>
      <c r="C255" s="4">
        <v>141</v>
      </c>
      <c r="D255" s="5">
        <v>0.79</v>
      </c>
      <c r="E255" s="6">
        <v>5E-36</v>
      </c>
      <c r="F255" s="4">
        <v>41.79</v>
      </c>
      <c r="G255" s="4" t="str">
        <f>HYPERLINK("https://www.ncbi.nlm.nih.gov/nucleotide/XM_003851169.1?report=genbank&amp;log$=nucltop&amp;blast_rank=48&amp;RID=0RSEE7F6013","XM_003851169.1")</f>
        <v>XM_003851169.1</v>
      </c>
    </row>
    <row r="256" spans="1:7" x14ac:dyDescent="0.35">
      <c r="A256" t="s">
        <v>740</v>
      </c>
      <c r="B256">
        <v>132</v>
      </c>
      <c r="C256">
        <v>132</v>
      </c>
      <c r="D256" s="2">
        <v>0.77</v>
      </c>
      <c r="E256" s="3">
        <v>9.0000000000000001E-32</v>
      </c>
      <c r="F256">
        <v>41.79</v>
      </c>
      <c r="G256" t="str">
        <f>HYPERLINK("https://www.ncbi.nlm.nih.gov/nucleotide/XM_024835101.1?report=genbank&amp;log$=nucltop&amp;blast_rank=49&amp;RID=0RSEE7F6013","XM_024835101.1")</f>
        <v>XM_024835101.1</v>
      </c>
    </row>
    <row r="257" spans="1:7" x14ac:dyDescent="0.35">
      <c r="A257" t="s">
        <v>943</v>
      </c>
      <c r="B257">
        <v>125</v>
      </c>
      <c r="C257">
        <v>125</v>
      </c>
      <c r="D257" s="2">
        <v>0.74</v>
      </c>
      <c r="E257" s="3">
        <v>5.9999999999999996E-31</v>
      </c>
      <c r="F257">
        <v>41.67</v>
      </c>
      <c r="G257" t="str">
        <f>HYPERLINK("https://www.ncbi.nlm.nih.gov/nucleotide/XM_026759999.1?report=genbank&amp;log$=nucltop&amp;blast_rank=50&amp;RID=0RSEE7F6013","XM_026759999.1")</f>
        <v>XM_026759999.1</v>
      </c>
    </row>
    <row r="258" spans="1:7" x14ac:dyDescent="0.35">
      <c r="A258" t="s">
        <v>213</v>
      </c>
      <c r="B258">
        <v>144</v>
      </c>
      <c r="C258">
        <v>144</v>
      </c>
      <c r="D258" s="2">
        <v>0.79</v>
      </c>
      <c r="E258" s="3">
        <v>5.9999999999999998E-38</v>
      </c>
      <c r="F258">
        <v>41.58</v>
      </c>
      <c r="G258" t="str">
        <f>HYPERLINK("https://www.ncbi.nlm.nih.gov/nucleotide/XM_037299585.1?report=genbank&amp;log$=nucltop&amp;blast_rank=51&amp;RID=0RSEE7F6013","XM_037299585.1")</f>
        <v>XM_037299585.1</v>
      </c>
    </row>
    <row r="259" spans="1:7" x14ac:dyDescent="0.35">
      <c r="A259" t="s">
        <v>214</v>
      </c>
      <c r="B259">
        <v>144</v>
      </c>
      <c r="C259">
        <v>144</v>
      </c>
      <c r="D259" s="2">
        <v>0.79</v>
      </c>
      <c r="E259" s="3">
        <v>7.0000000000000003E-38</v>
      </c>
      <c r="F259">
        <v>41.58</v>
      </c>
      <c r="G259" t="str">
        <f>HYPERLINK("https://www.ncbi.nlm.nih.gov/nucleotide/XM_037307991.1?report=genbank&amp;log$=nucltop&amp;blast_rank=52&amp;RID=0RSEE7F6013","XM_037307991.1")</f>
        <v>XM_037307991.1</v>
      </c>
    </row>
    <row r="260" spans="1:7" x14ac:dyDescent="0.35">
      <c r="A260" t="s">
        <v>262</v>
      </c>
      <c r="B260">
        <v>132</v>
      </c>
      <c r="C260">
        <v>132</v>
      </c>
      <c r="D260" s="2">
        <v>0.77</v>
      </c>
      <c r="E260" s="3">
        <v>3E-32</v>
      </c>
      <c r="F260">
        <v>41.54</v>
      </c>
      <c r="G260" t="str">
        <f>HYPERLINK("https://www.ncbi.nlm.nih.gov/nucleotide/XM_024881431.1?report=genbank&amp;log$=nucltop&amp;blast_rank=53&amp;RID=0RSEE7F6013","XM_024881431.1")</f>
        <v>XM_024881431.1</v>
      </c>
    </row>
    <row r="261" spans="1:7" x14ac:dyDescent="0.35">
      <c r="A261" t="s">
        <v>944</v>
      </c>
      <c r="B261">
        <v>127</v>
      </c>
      <c r="C261">
        <v>127</v>
      </c>
      <c r="D261" s="2">
        <v>0.77</v>
      </c>
      <c r="E261" s="3">
        <v>9.0000000000000008E-31</v>
      </c>
      <c r="F261">
        <v>41.29</v>
      </c>
      <c r="G261" t="str">
        <f>HYPERLINK("https://www.ncbi.nlm.nih.gov/nucleotide/XM_015548822.1?report=genbank&amp;log$=nucltop&amp;blast_rank=54&amp;RID=0RSEE7F6013","XM_015548822.1")</f>
        <v>XM_015548822.1</v>
      </c>
    </row>
    <row r="262" spans="1:7" x14ac:dyDescent="0.35">
      <c r="A262" s="4" t="s">
        <v>945</v>
      </c>
      <c r="B262" s="4">
        <v>127</v>
      </c>
      <c r="C262" s="4">
        <v>127</v>
      </c>
      <c r="D262" s="5">
        <v>0.77</v>
      </c>
      <c r="E262" s="6">
        <v>1.0000000000000001E-30</v>
      </c>
      <c r="F262" s="4">
        <v>41.29</v>
      </c>
      <c r="G262" s="4" t="str">
        <f>HYPERLINK("https://www.ncbi.nlm.nih.gov/nucleotide/XM_032083078.1?report=genbank&amp;log$=nucltop&amp;blast_rank=55&amp;RID=0RSEE7F6013","XM_032083078.1")</f>
        <v>XM_032083078.1</v>
      </c>
    </row>
    <row r="263" spans="1:7" x14ac:dyDescent="0.35">
      <c r="A263" t="s">
        <v>249</v>
      </c>
      <c r="B263">
        <v>140</v>
      </c>
      <c r="C263">
        <v>140</v>
      </c>
      <c r="D263" s="2">
        <v>0.77</v>
      </c>
      <c r="E263" s="3">
        <v>3.0000000000000002E-36</v>
      </c>
      <c r="F263">
        <v>41.12</v>
      </c>
      <c r="G263" t="str">
        <f>HYPERLINK("https://www.ncbi.nlm.nih.gov/nucleotide/XM_009650293.1?report=genbank&amp;log$=nucltop&amp;blast_rank=56&amp;RID=0RSEE7F6013","XM_009650293.1")</f>
        <v>XM_009650293.1</v>
      </c>
    </row>
    <row r="264" spans="1:7" x14ac:dyDescent="0.35">
      <c r="A264" t="s">
        <v>250</v>
      </c>
      <c r="B264">
        <v>141</v>
      </c>
      <c r="C264">
        <v>141</v>
      </c>
      <c r="D264" s="2">
        <v>0.77</v>
      </c>
      <c r="E264" s="3">
        <v>5.0000000000000003E-34</v>
      </c>
      <c r="F264">
        <v>41.12</v>
      </c>
      <c r="G264" t="str">
        <f>HYPERLINK("https://www.ncbi.nlm.nih.gov/nucleotide/CP010980.1?report=genbank&amp;log$=nucltop&amp;blast_rank=57&amp;RID=0RSEE7F6013","CP010980.1")</f>
        <v>CP010980.1</v>
      </c>
    </row>
    <row r="265" spans="1:7" x14ac:dyDescent="0.35">
      <c r="A265" t="s">
        <v>251</v>
      </c>
      <c r="B265">
        <v>141</v>
      </c>
      <c r="C265">
        <v>141</v>
      </c>
      <c r="D265" s="2">
        <v>0.77</v>
      </c>
      <c r="E265" s="3">
        <v>5.0000000000000003E-34</v>
      </c>
      <c r="F265">
        <v>41.12</v>
      </c>
      <c r="G265" t="str">
        <f>HYPERLINK("https://www.ncbi.nlm.nih.gov/nucleotide/CP009075.1?report=genbank&amp;log$=nucltop&amp;blast_rank=58&amp;RID=0RSEE7F6013","CP009075.1")</f>
        <v>CP009075.1</v>
      </c>
    </row>
    <row r="266" spans="1:7" x14ac:dyDescent="0.35">
      <c r="A266" t="s">
        <v>147</v>
      </c>
      <c r="B266">
        <v>130</v>
      </c>
      <c r="C266">
        <v>130</v>
      </c>
      <c r="D266" s="2">
        <v>0.77</v>
      </c>
      <c r="E266" s="3">
        <v>3E-32</v>
      </c>
      <c r="F266">
        <v>41.12</v>
      </c>
      <c r="G266" t="str">
        <f>HYPERLINK("https://www.ncbi.nlm.nih.gov/nucleotide/XM_007741154.1?report=genbank&amp;log$=nucltop&amp;blast_rank=59&amp;RID=0RSEE7F6013","XM_007741154.1")</f>
        <v>XM_007741154.1</v>
      </c>
    </row>
    <row r="267" spans="1:7" x14ac:dyDescent="0.35">
      <c r="A267" t="s">
        <v>261</v>
      </c>
      <c r="B267">
        <v>126</v>
      </c>
      <c r="C267">
        <v>126</v>
      </c>
      <c r="D267" s="2">
        <v>0.79</v>
      </c>
      <c r="E267" s="3">
        <v>4.0000000000000003E-31</v>
      </c>
      <c r="F267">
        <v>40.799999999999997</v>
      </c>
      <c r="G267" t="str">
        <f>HYPERLINK("https://www.ncbi.nlm.nih.gov/nucleotide/XM_007836483.1?report=genbank&amp;log$=nucltop&amp;blast_rank=60&amp;RID=0RSEE7F6013","XM_007836483.1")</f>
        <v>XM_007836483.1</v>
      </c>
    </row>
    <row r="268" spans="1:7" x14ac:dyDescent="0.35">
      <c r="A268" t="s">
        <v>148</v>
      </c>
      <c r="B268">
        <v>130</v>
      </c>
      <c r="C268">
        <v>130</v>
      </c>
      <c r="D268" s="2">
        <v>0.77</v>
      </c>
      <c r="E268" s="3">
        <v>3E-32</v>
      </c>
      <c r="F268">
        <v>40.61</v>
      </c>
      <c r="G268" t="str">
        <f>HYPERLINK("https://www.ncbi.nlm.nih.gov/nucleotide/XM_016758299.1?report=genbank&amp;log$=nucltop&amp;blast_rank=61&amp;RID=0RSEE7F6013","XM_016758299.1")</f>
        <v>XM_016758299.1</v>
      </c>
    </row>
    <row r="269" spans="1:7" x14ac:dyDescent="0.35">
      <c r="A269" t="s">
        <v>272</v>
      </c>
      <c r="B269">
        <v>143</v>
      </c>
      <c r="C269">
        <v>143</v>
      </c>
      <c r="D269" s="2">
        <v>0.79</v>
      </c>
      <c r="E269" s="3">
        <v>4.9999999999999997E-37</v>
      </c>
      <c r="F269">
        <v>40.590000000000003</v>
      </c>
      <c r="G269" t="str">
        <f>HYPERLINK("https://www.ncbi.nlm.nih.gov/nucleotide/XM_001911327.1?report=genbank&amp;log$=nucltop&amp;blast_rank=62&amp;RID=0RSEE7F6013","XM_001911327.1")</f>
        <v>XM_001911327.1</v>
      </c>
    </row>
    <row r="270" spans="1:7" x14ac:dyDescent="0.35">
      <c r="A270" t="s">
        <v>265</v>
      </c>
      <c r="B270">
        <v>138</v>
      </c>
      <c r="C270">
        <v>138</v>
      </c>
      <c r="D270" s="2">
        <v>0.77</v>
      </c>
      <c r="E270" s="3">
        <v>6E-34</v>
      </c>
      <c r="F270">
        <v>40.51</v>
      </c>
      <c r="G270" t="str">
        <f>HYPERLINK("https://www.ncbi.nlm.nih.gov/nucleotide/XM_018215251.1?report=genbank&amp;log$=nucltop&amp;blast_rank=63&amp;RID=0RSEE7F6013","XM_018215251.1")</f>
        <v>XM_018215251.1</v>
      </c>
    </row>
    <row r="271" spans="1:7" x14ac:dyDescent="0.35">
      <c r="A271" t="s">
        <v>139</v>
      </c>
      <c r="B271">
        <v>137</v>
      </c>
      <c r="C271">
        <v>137</v>
      </c>
      <c r="D271" s="2">
        <v>0.77</v>
      </c>
      <c r="E271" s="3">
        <v>5.0000000000000003E-33</v>
      </c>
      <c r="F271">
        <v>40.4</v>
      </c>
      <c r="G271" t="str">
        <f>HYPERLINK("https://www.ncbi.nlm.nih.gov/nucleotide/XM_016366306.1?report=genbank&amp;log$=nucltop&amp;blast_rank=64&amp;RID=0RSEE7F6013","XM_016366306.1")</f>
        <v>XM_016366306.1</v>
      </c>
    </row>
    <row r="272" spans="1:7" x14ac:dyDescent="0.35">
      <c r="A272" t="s">
        <v>260</v>
      </c>
      <c r="B272">
        <v>135</v>
      </c>
      <c r="C272">
        <v>135</v>
      </c>
      <c r="D272" s="2">
        <v>0.79</v>
      </c>
      <c r="E272" s="3">
        <v>1.9999999999999999E-34</v>
      </c>
      <c r="F272">
        <v>40.299999999999997</v>
      </c>
      <c r="G272" t="str">
        <f>HYPERLINK("https://www.ncbi.nlm.nih.gov/nucleotide/XM_023769316.1?report=genbank&amp;log$=nucltop&amp;blast_rank=65&amp;RID=0RSEE7F6013","XM_023769316.1")</f>
        <v>XM_023769316.1</v>
      </c>
    </row>
    <row r="273" spans="1:7" x14ac:dyDescent="0.35">
      <c r="A273" s="4" t="s">
        <v>267</v>
      </c>
      <c r="B273" s="4">
        <v>130</v>
      </c>
      <c r="C273" s="4">
        <v>130</v>
      </c>
      <c r="D273" s="5">
        <v>0.77</v>
      </c>
      <c r="E273" s="6">
        <v>2.0000000000000001E-32</v>
      </c>
      <c r="F273" s="4">
        <v>40.299999999999997</v>
      </c>
      <c r="G273" s="4" t="str">
        <f>HYPERLINK("https://www.ncbi.nlm.nih.gov/nucleotide/XM_745463.1?report=genbank&amp;log$=nucltop&amp;blast_rank=66&amp;RID=0RSEE7F6013","XM_745463.1")</f>
        <v>XM_745463.1</v>
      </c>
    </row>
    <row r="274" spans="1:7" x14ac:dyDescent="0.35">
      <c r="A274" t="s">
        <v>273</v>
      </c>
      <c r="B274">
        <v>135</v>
      </c>
      <c r="C274">
        <v>135</v>
      </c>
      <c r="D274" s="2">
        <v>0.79</v>
      </c>
      <c r="E274" s="3">
        <v>6E-34</v>
      </c>
      <c r="F274">
        <v>40</v>
      </c>
      <c r="G274" t="str">
        <f>HYPERLINK("https://www.ncbi.nlm.nih.gov/nucleotide/XM_007788590.1?report=genbank&amp;log$=nucltop&amp;blast_rank=67&amp;RID=0RSEE7F6013","XM_007788590.1")</f>
        <v>XM_007788590.1</v>
      </c>
    </row>
    <row r="275" spans="1:7" x14ac:dyDescent="0.35">
      <c r="A275" t="s">
        <v>946</v>
      </c>
      <c r="B275">
        <v>126</v>
      </c>
      <c r="C275">
        <v>126</v>
      </c>
      <c r="D275" s="2">
        <v>0.74</v>
      </c>
      <c r="E275" s="3">
        <v>2.0000000000000002E-31</v>
      </c>
      <c r="F275">
        <v>39.9</v>
      </c>
      <c r="G275" t="str">
        <f>HYPERLINK("https://www.ncbi.nlm.nih.gov/nucleotide/XM_039070369.1?report=genbank&amp;log$=nucltop&amp;blast_rank=68&amp;RID=0RSEE7F6013","XM_039070369.1")</f>
        <v>XM_039070369.1</v>
      </c>
    </row>
    <row r="276" spans="1:7" x14ac:dyDescent="0.35">
      <c r="A276" t="s">
        <v>211</v>
      </c>
      <c r="B276">
        <v>130</v>
      </c>
      <c r="C276">
        <v>130</v>
      </c>
      <c r="D276" s="2">
        <v>0.79</v>
      </c>
      <c r="E276" s="3">
        <v>2.0000000000000001E-32</v>
      </c>
      <c r="F276">
        <v>39.799999999999997</v>
      </c>
      <c r="G276" t="str">
        <f>HYPERLINK("https://www.ncbi.nlm.nih.gov/nucleotide/XM_014093215.1?report=genbank&amp;log$=nucltop&amp;blast_rank=69&amp;RID=0RSEE7F6013","XM_014093215.1")</f>
        <v>XM_014093215.1</v>
      </c>
    </row>
    <row r="277" spans="1:7" x14ac:dyDescent="0.35">
      <c r="A277" t="s">
        <v>947</v>
      </c>
      <c r="B277">
        <v>128</v>
      </c>
      <c r="C277">
        <v>128</v>
      </c>
      <c r="D277" s="2">
        <v>0.77</v>
      </c>
      <c r="E277" s="3">
        <v>1.0000000000000001E-31</v>
      </c>
      <c r="F277">
        <v>39.799999999999997</v>
      </c>
      <c r="G277" t="str">
        <f>HYPERLINK("https://www.ncbi.nlm.nih.gov/nucleotide/XM_033556261.1?report=genbank&amp;log$=nucltop&amp;blast_rank=70&amp;RID=0RSEE7F6013","XM_033556261.1")</f>
        <v>XM_033556261.1</v>
      </c>
    </row>
    <row r="278" spans="1:7" x14ac:dyDescent="0.35">
      <c r="A278" t="s">
        <v>269</v>
      </c>
      <c r="B278">
        <v>139</v>
      </c>
      <c r="C278">
        <v>139</v>
      </c>
      <c r="D278" s="2">
        <v>0.77</v>
      </c>
      <c r="E278" s="3">
        <v>7.9999999999999995E-36</v>
      </c>
      <c r="F278">
        <v>39.799999999999997</v>
      </c>
      <c r="G278" t="str">
        <f>HYPERLINK("https://www.ncbi.nlm.nih.gov/nucleotide/XM_028655763.1?report=genbank&amp;log$=nucltop&amp;blast_rank=71&amp;RID=0RSEE7F6013","XM_028655763.1")</f>
        <v>XM_028655763.1</v>
      </c>
    </row>
    <row r="279" spans="1:7" x14ac:dyDescent="0.35">
      <c r="A279" t="s">
        <v>270</v>
      </c>
      <c r="B279">
        <v>139</v>
      </c>
      <c r="C279">
        <v>139</v>
      </c>
      <c r="D279" s="2">
        <v>0.77</v>
      </c>
      <c r="E279" s="3">
        <v>7.9999999999999995E-36</v>
      </c>
      <c r="F279">
        <v>39.799999999999997</v>
      </c>
      <c r="G279" t="str">
        <f>HYPERLINK("https://www.ncbi.nlm.nih.gov/nucleotide/XM_018534397.1?report=genbank&amp;log$=nucltop&amp;blast_rank=72&amp;RID=0RSEE7F6013","XM_018534397.1")</f>
        <v>XM_018534397.1</v>
      </c>
    </row>
    <row r="280" spans="1:7" x14ac:dyDescent="0.35">
      <c r="A280" t="s">
        <v>838</v>
      </c>
      <c r="B280">
        <v>139</v>
      </c>
      <c r="C280">
        <v>139</v>
      </c>
      <c r="D280" s="2">
        <v>0.77</v>
      </c>
      <c r="E280" s="3">
        <v>7.9999999999999995E-36</v>
      </c>
      <c r="F280">
        <v>39.799999999999997</v>
      </c>
      <c r="G280" t="str">
        <f>HYPERLINK("https://www.ncbi.nlm.nih.gov/nucleotide/XM_038932773.1?report=genbank&amp;log$=nucltop&amp;blast_rank=73&amp;RID=0RSEE7F6013","XM_038932773.1")</f>
        <v>XM_038932773.1</v>
      </c>
    </row>
    <row r="281" spans="1:7" x14ac:dyDescent="0.35">
      <c r="A281" t="s">
        <v>274</v>
      </c>
      <c r="B281">
        <v>138</v>
      </c>
      <c r="C281">
        <v>138</v>
      </c>
      <c r="D281" s="2">
        <v>0.77</v>
      </c>
      <c r="E281" s="3">
        <v>2.9999999999999999E-35</v>
      </c>
      <c r="F281">
        <v>39.799999999999997</v>
      </c>
      <c r="G281" t="str">
        <f>HYPERLINK("https://www.ncbi.nlm.nih.gov/nucleotide/XM_008033263.1?report=genbank&amp;log$=nucltop&amp;blast_rank=74&amp;RID=0RSEE7F6013","XM_008033263.1")</f>
        <v>XM_008033263.1</v>
      </c>
    </row>
    <row r="282" spans="1:7" x14ac:dyDescent="0.35">
      <c r="A282" t="s">
        <v>224</v>
      </c>
      <c r="B282">
        <v>133</v>
      </c>
      <c r="C282">
        <v>133</v>
      </c>
      <c r="D282" s="2">
        <v>0.77</v>
      </c>
      <c r="E282" s="3">
        <v>6.9999999999999997E-34</v>
      </c>
      <c r="F282">
        <v>39.700000000000003</v>
      </c>
      <c r="G282" t="str">
        <f>HYPERLINK("https://www.ncbi.nlm.nih.gov/nucleotide/XM_022626531.1?report=genbank&amp;log$=nucltop&amp;blast_rank=75&amp;RID=0RSEE7F6013","XM_022626531.1")</f>
        <v>XM_022626531.1</v>
      </c>
    </row>
    <row r="283" spans="1:7" x14ac:dyDescent="0.35">
      <c r="A283" t="s">
        <v>275</v>
      </c>
      <c r="B283">
        <v>132</v>
      </c>
      <c r="C283">
        <v>132</v>
      </c>
      <c r="D283" s="2">
        <v>0.77</v>
      </c>
      <c r="E283" s="3">
        <v>3.0000000000000002E-33</v>
      </c>
      <c r="F283">
        <v>39.700000000000003</v>
      </c>
      <c r="G283" t="str">
        <f>HYPERLINK("https://www.ncbi.nlm.nih.gov/nucleotide/XM_002560097.1?report=genbank&amp;log$=nucltop&amp;blast_rank=76&amp;RID=0RSEE7F6013","XM_002560097.1")</f>
        <v>XM_002560097.1</v>
      </c>
    </row>
    <row r="284" spans="1:7" x14ac:dyDescent="0.35">
      <c r="A284" t="s">
        <v>156</v>
      </c>
      <c r="B284">
        <v>127</v>
      </c>
      <c r="C284">
        <v>127</v>
      </c>
      <c r="D284" s="2">
        <v>0.77</v>
      </c>
      <c r="E284" s="3">
        <v>5.9999999999999996E-31</v>
      </c>
      <c r="F284">
        <v>39.590000000000003</v>
      </c>
      <c r="G284" t="str">
        <f>HYPERLINK("https://www.ncbi.nlm.nih.gov/nucleotide/XM_013428902.1?report=genbank&amp;log$=nucltop&amp;blast_rank=77&amp;RID=0RSEE7F6013","XM_013428902.1")</f>
        <v>XM_013428902.1</v>
      </c>
    </row>
    <row r="285" spans="1:7" x14ac:dyDescent="0.35">
      <c r="A285" t="s">
        <v>264</v>
      </c>
      <c r="B285">
        <v>138</v>
      </c>
      <c r="C285">
        <v>138</v>
      </c>
      <c r="D285" s="2">
        <v>0.77</v>
      </c>
      <c r="E285" s="3">
        <v>2.9999999999999999E-35</v>
      </c>
      <c r="F285">
        <v>39.49</v>
      </c>
      <c r="G285" t="str">
        <f>HYPERLINK("https://www.ncbi.nlm.nih.gov/nucleotide/XM_009154513.1?report=genbank&amp;log$=nucltop&amp;blast_rank=78&amp;RID=0RSEE7F6013","XM_009154513.1")</f>
        <v>XM_009154513.1</v>
      </c>
    </row>
    <row r="286" spans="1:7" x14ac:dyDescent="0.35">
      <c r="A286" t="s">
        <v>225</v>
      </c>
      <c r="B286">
        <v>135</v>
      </c>
      <c r="C286">
        <v>135</v>
      </c>
      <c r="D286" s="2">
        <v>0.77</v>
      </c>
      <c r="E286" s="3">
        <v>1.9999999999999999E-34</v>
      </c>
      <c r="F286">
        <v>39.49</v>
      </c>
      <c r="G286" t="str">
        <f>HYPERLINK("https://www.ncbi.nlm.nih.gov/nucleotide/XM_007722025.1?report=genbank&amp;log$=nucltop&amp;blast_rank=79&amp;RID=0RSEE7F6013","XM_007722025.1")</f>
        <v>XM_007722025.1</v>
      </c>
    </row>
    <row r="287" spans="1:7" x14ac:dyDescent="0.35">
      <c r="A287" t="s">
        <v>276</v>
      </c>
      <c r="B287">
        <v>129</v>
      </c>
      <c r="C287">
        <v>129</v>
      </c>
      <c r="D287" s="2">
        <v>0.79</v>
      </c>
      <c r="E287" s="3">
        <v>3E-32</v>
      </c>
      <c r="F287">
        <v>39.409999999999997</v>
      </c>
      <c r="G287" t="str">
        <f>HYPERLINK("https://www.ncbi.nlm.nih.gov/nucleotide/XM_024466619.1?report=genbank&amp;log$=nucltop&amp;blast_rank=80&amp;RID=0RSEE7F6013","XM_024466619.1")</f>
        <v>XM_024466619.1</v>
      </c>
    </row>
    <row r="288" spans="1:7" x14ac:dyDescent="0.35">
      <c r="A288" s="4" t="s">
        <v>268</v>
      </c>
      <c r="B288" s="4">
        <v>132</v>
      </c>
      <c r="C288" s="4">
        <v>132</v>
      </c>
      <c r="D288" s="5">
        <v>0.77</v>
      </c>
      <c r="E288" s="6">
        <v>2.0000000000000001E-33</v>
      </c>
      <c r="F288" s="4">
        <v>39.200000000000003</v>
      </c>
      <c r="G288" s="4" t="str">
        <f>HYPERLINK("https://www.ncbi.nlm.nih.gov/nucleotide/XM_016742376.1?report=genbank&amp;log$=nucltop&amp;blast_rank=81&amp;RID=0RSEE7F6013","XM_016742376.1")</f>
        <v>XM_016742376.1</v>
      </c>
    </row>
    <row r="289" spans="1:7" x14ac:dyDescent="0.35">
      <c r="A289" t="s">
        <v>271</v>
      </c>
      <c r="B289">
        <v>132</v>
      </c>
      <c r="C289">
        <v>132</v>
      </c>
      <c r="D289" s="2">
        <v>0.77</v>
      </c>
      <c r="E289" s="3">
        <v>3.0000000000000002E-33</v>
      </c>
      <c r="F289">
        <v>39.200000000000003</v>
      </c>
      <c r="G289" t="str">
        <f>HYPERLINK("https://www.ncbi.nlm.nih.gov/nucleotide/XM_014675514.1?report=genbank&amp;log$=nucltop&amp;blast_rank=82&amp;RID=0RSEE7F6013","XM_014675514.1")</f>
        <v>XM_014675514.1</v>
      </c>
    </row>
    <row r="290" spans="1:7" x14ac:dyDescent="0.35">
      <c r="A290" t="s">
        <v>737</v>
      </c>
      <c r="B290">
        <v>126</v>
      </c>
      <c r="C290">
        <v>126</v>
      </c>
      <c r="D290" s="2">
        <v>0.76</v>
      </c>
      <c r="E290" s="3">
        <v>2.9999999999999998E-31</v>
      </c>
      <c r="F290">
        <v>39.090000000000003</v>
      </c>
      <c r="G290" t="str">
        <f>HYPERLINK("https://www.ncbi.nlm.nih.gov/nucleotide/XM_022634861.1?report=genbank&amp;log$=nucltop&amp;blast_rank=83&amp;RID=0RSEE7F6013","XM_022634861.1")</f>
        <v>XM_022634861.1</v>
      </c>
    </row>
    <row r="291" spans="1:7" x14ac:dyDescent="0.35">
      <c r="A291" t="s">
        <v>226</v>
      </c>
      <c r="B291">
        <v>127</v>
      </c>
      <c r="C291">
        <v>127</v>
      </c>
      <c r="D291" s="2">
        <v>0.77</v>
      </c>
      <c r="E291" s="3">
        <v>5.0000000000000004E-31</v>
      </c>
      <c r="F291">
        <v>39.090000000000003</v>
      </c>
      <c r="G291" t="str">
        <f>HYPERLINK("https://www.ncbi.nlm.nih.gov/nucleotide/XM_022653627.1?report=genbank&amp;log$=nucltop&amp;blast_rank=84&amp;RID=0RSEE7F6013","XM_022653627.1")</f>
        <v>XM_022653627.1</v>
      </c>
    </row>
    <row r="292" spans="1:7" x14ac:dyDescent="0.35">
      <c r="A292" t="s">
        <v>227</v>
      </c>
      <c r="B292">
        <v>126</v>
      </c>
      <c r="C292">
        <v>126</v>
      </c>
      <c r="D292" s="2">
        <v>0.77</v>
      </c>
      <c r="E292" s="3">
        <v>1.0000000000000001E-30</v>
      </c>
      <c r="F292">
        <v>39.090000000000003</v>
      </c>
      <c r="G292" t="str">
        <f>HYPERLINK("https://www.ncbi.nlm.nih.gov/nucleotide/XM_022645436.1?report=genbank&amp;log$=nucltop&amp;blast_rank=85&amp;RID=0RSEE7F6013","XM_022645436.1")</f>
        <v>XM_022645436.1</v>
      </c>
    </row>
    <row r="293" spans="1:7" x14ac:dyDescent="0.35">
      <c r="A293" t="s">
        <v>258</v>
      </c>
      <c r="B293">
        <v>136</v>
      </c>
      <c r="C293">
        <v>136</v>
      </c>
      <c r="D293" s="2">
        <v>0.77</v>
      </c>
      <c r="E293" s="3">
        <v>4.9999999999999996E-35</v>
      </c>
      <c r="F293">
        <v>38.97</v>
      </c>
      <c r="G293" t="str">
        <f>HYPERLINK("https://www.ncbi.nlm.nih.gov/nucleotide/XM_019169675.1?report=genbank&amp;log$=nucltop&amp;blast_rank=86&amp;RID=0RSEE7F6013","XM_019169675.1")</f>
        <v>XM_019169675.1</v>
      </c>
    </row>
    <row r="294" spans="1:7" x14ac:dyDescent="0.35">
      <c r="A294" t="s">
        <v>191</v>
      </c>
      <c r="B294">
        <v>128</v>
      </c>
      <c r="C294">
        <v>128</v>
      </c>
      <c r="D294" s="2">
        <v>0.77</v>
      </c>
      <c r="E294" s="3">
        <v>2.0000000000000002E-31</v>
      </c>
      <c r="F294">
        <v>38.97</v>
      </c>
      <c r="G294" t="str">
        <f>HYPERLINK("https://www.ncbi.nlm.nih.gov/nucleotide/XM_016379292.1?report=genbank&amp;log$=nucltop&amp;blast_rank=87&amp;RID=0RSEE7F6013","XM_016379292.1")</f>
        <v>XM_016379292.1</v>
      </c>
    </row>
    <row r="295" spans="1:7" x14ac:dyDescent="0.35">
      <c r="A295" t="s">
        <v>135</v>
      </c>
      <c r="B295">
        <v>127</v>
      </c>
      <c r="C295">
        <v>127</v>
      </c>
      <c r="D295" s="2">
        <v>0.77</v>
      </c>
      <c r="E295" s="3">
        <v>2.0000000000000002E-31</v>
      </c>
      <c r="F295">
        <v>38.97</v>
      </c>
      <c r="G295" t="str">
        <f>HYPERLINK("https://www.ncbi.nlm.nih.gov/nucleotide/XM_007737879.1?report=genbank&amp;log$=nucltop&amp;blast_rank=88&amp;RID=0RSEE7F6013","XM_007737879.1")</f>
        <v>XM_007737879.1</v>
      </c>
    </row>
    <row r="296" spans="1:7" x14ac:dyDescent="0.35">
      <c r="A296" t="s">
        <v>266</v>
      </c>
      <c r="B296">
        <v>132</v>
      </c>
      <c r="C296">
        <v>132</v>
      </c>
      <c r="D296" s="2">
        <v>0.81</v>
      </c>
      <c r="E296" s="3">
        <v>6.0000000000000001E-32</v>
      </c>
      <c r="F296">
        <v>38.94</v>
      </c>
      <c r="G296" t="str">
        <f>HYPERLINK("https://www.ncbi.nlm.nih.gov/nucleotide/XM_007683500.1?report=genbank&amp;log$=nucltop&amp;blast_rank=89&amp;RID=0RSEE7F6013","XM_007683500.1")</f>
        <v>XM_007683500.1</v>
      </c>
    </row>
    <row r="297" spans="1:7" x14ac:dyDescent="0.35">
      <c r="A297" t="s">
        <v>948</v>
      </c>
      <c r="B297">
        <v>126</v>
      </c>
      <c r="C297">
        <v>126</v>
      </c>
      <c r="D297" s="2">
        <v>0.77</v>
      </c>
      <c r="E297" s="3">
        <v>2.9999999999999998E-31</v>
      </c>
      <c r="F297">
        <v>38.78</v>
      </c>
      <c r="G297" t="str">
        <f>HYPERLINK("https://www.ncbi.nlm.nih.gov/nucleotide/XM_014705956.1?report=genbank&amp;log$=nucltop&amp;blast_rank=90&amp;RID=0RSEE7F6013","XM_014705956.1")</f>
        <v>XM_014705956.1</v>
      </c>
    </row>
    <row r="298" spans="1:7" x14ac:dyDescent="0.35">
      <c r="A298" t="s">
        <v>949</v>
      </c>
      <c r="B298">
        <v>126</v>
      </c>
      <c r="C298">
        <v>126</v>
      </c>
      <c r="D298" s="2">
        <v>0.77</v>
      </c>
      <c r="E298" s="3">
        <v>2.9999999999999998E-31</v>
      </c>
      <c r="F298">
        <v>38.78</v>
      </c>
      <c r="G298" t="str">
        <f>HYPERLINK("https://www.ncbi.nlm.nih.gov/nucleotide/XM_007710666.1?report=genbank&amp;log$=nucltop&amp;blast_rank=91&amp;RID=0RSEE7F6013","XM_007710666.1")</f>
        <v>XM_007710666.1</v>
      </c>
    </row>
    <row r="299" spans="1:7" x14ac:dyDescent="0.35">
      <c r="A299" t="s">
        <v>277</v>
      </c>
      <c r="B299">
        <v>133</v>
      </c>
      <c r="C299">
        <v>133</v>
      </c>
      <c r="D299" s="2">
        <v>0.8</v>
      </c>
      <c r="E299" s="3">
        <v>2.0000000000000001E-32</v>
      </c>
      <c r="F299">
        <v>38.35</v>
      </c>
      <c r="G299" t="str">
        <f>HYPERLINK("https://www.ncbi.nlm.nih.gov/nucleotide/XM_033803268.1?report=genbank&amp;log$=nucltop&amp;blast_rank=92&amp;RID=0RSEE7F6013","XM_033803268.1")</f>
        <v>XM_033803268.1</v>
      </c>
    </row>
    <row r="300" spans="1:7" x14ac:dyDescent="0.35">
      <c r="A300" t="s">
        <v>281</v>
      </c>
      <c r="B300">
        <v>134</v>
      </c>
      <c r="C300">
        <v>134</v>
      </c>
      <c r="D300" s="2">
        <v>0.79</v>
      </c>
      <c r="E300" s="3">
        <v>1.0000000000000001E-33</v>
      </c>
      <c r="F300">
        <v>38</v>
      </c>
      <c r="G300" t="str">
        <f>HYPERLINK("https://www.ncbi.nlm.nih.gov/nucleotide/XM_007704195.1?report=genbank&amp;log$=nucltop&amp;blast_rank=93&amp;RID=0RSEE7F6013","XM_007704195.1")</f>
        <v>XM_007704195.1</v>
      </c>
    </row>
    <row r="301" spans="1:7" x14ac:dyDescent="0.35">
      <c r="A301" t="s">
        <v>238</v>
      </c>
      <c r="B301">
        <v>143</v>
      </c>
      <c r="C301">
        <v>143</v>
      </c>
      <c r="D301" s="2">
        <v>0.93</v>
      </c>
      <c r="E301" s="3">
        <v>9.9999999999999994E-37</v>
      </c>
      <c r="F301">
        <v>37.86</v>
      </c>
      <c r="G301" t="str">
        <f>HYPERLINK("https://www.ncbi.nlm.nih.gov/nucleotide/XM_018328867.1?report=genbank&amp;log$=nucltop&amp;blast_rank=94&amp;RID=0RSEE7F6013","XM_018328867.1")</f>
        <v>XM_018328867.1</v>
      </c>
    </row>
    <row r="302" spans="1:7" x14ac:dyDescent="0.35">
      <c r="A302" t="s">
        <v>278</v>
      </c>
      <c r="B302">
        <v>131</v>
      </c>
      <c r="C302">
        <v>131</v>
      </c>
      <c r="D302" s="2">
        <v>0.79</v>
      </c>
      <c r="E302" s="3">
        <v>5.0000000000000004E-32</v>
      </c>
      <c r="F302">
        <v>37.130000000000003</v>
      </c>
      <c r="G302" t="str">
        <f>HYPERLINK("https://www.ncbi.nlm.nih.gov/nucleotide/XM_001933154.1?report=genbank&amp;log$=nucltop&amp;blast_rank=95&amp;RID=0RSEE7F6013","XM_001933154.1")</f>
        <v>XM_001933154.1</v>
      </c>
    </row>
    <row r="303" spans="1:7" x14ac:dyDescent="0.35">
      <c r="A303" t="s">
        <v>279</v>
      </c>
      <c r="B303">
        <v>141</v>
      </c>
      <c r="C303">
        <v>141</v>
      </c>
      <c r="D303" s="2">
        <v>0.94</v>
      </c>
      <c r="E303" s="3">
        <v>8.0000000000000005E-37</v>
      </c>
      <c r="F303">
        <v>36.630000000000003</v>
      </c>
      <c r="G303" t="str">
        <f>HYPERLINK("https://www.ncbi.nlm.nih.gov/nucleotide/XM_028635266.1?report=genbank&amp;log$=nucltop&amp;blast_rank=96&amp;RID=0RSEE7F6013","XM_028635266.1")</f>
        <v>XM_028635266.1</v>
      </c>
    </row>
    <row r="304" spans="1:7" x14ac:dyDescent="0.35">
      <c r="A304" t="s">
        <v>950</v>
      </c>
      <c r="B304">
        <v>126</v>
      </c>
      <c r="C304">
        <v>126</v>
      </c>
      <c r="D304" s="2">
        <v>0.8</v>
      </c>
      <c r="E304" s="3">
        <v>1.0000000000000001E-30</v>
      </c>
      <c r="F304">
        <v>36.450000000000003</v>
      </c>
      <c r="G304" t="str">
        <f>HYPERLINK("https://www.ncbi.nlm.nih.gov/nucleotide/XM_003833658.1?report=genbank&amp;log$=nucltop&amp;blast_rank=97&amp;RID=0RSEE7F6013","XM_003833658.1")</f>
        <v>XM_003833658.1</v>
      </c>
    </row>
    <row r="305" spans="1:7" x14ac:dyDescent="0.35">
      <c r="A305" t="s">
        <v>259</v>
      </c>
      <c r="B305">
        <v>139</v>
      </c>
      <c r="C305">
        <v>139</v>
      </c>
      <c r="D305" s="2">
        <v>0.95</v>
      </c>
      <c r="E305" s="3">
        <v>6.9999999999999999E-36</v>
      </c>
      <c r="F305">
        <v>36.36</v>
      </c>
      <c r="G305" t="str">
        <f>HYPERLINK("https://www.ncbi.nlm.nih.gov/nucleotide/XM_033805656.1?report=genbank&amp;log$=nucltop&amp;blast_rank=98&amp;RID=0RSEE7F6013","XM_033805656.1")</f>
        <v>XM_033805656.1</v>
      </c>
    </row>
    <row r="306" spans="1:7" x14ac:dyDescent="0.35">
      <c r="A306" t="s">
        <v>280</v>
      </c>
      <c r="B306">
        <v>129</v>
      </c>
      <c r="C306">
        <v>129</v>
      </c>
      <c r="D306" s="2">
        <v>0.77</v>
      </c>
      <c r="E306" s="3">
        <v>9.0000000000000008E-31</v>
      </c>
      <c r="F306">
        <v>36.22</v>
      </c>
      <c r="G306" t="str">
        <f>HYPERLINK("https://www.ncbi.nlm.nih.gov/nucleotide/XM_033701610.1?report=genbank&amp;log$=nucltop&amp;blast_rank=99&amp;RID=0RSEE7F6013","XM_033701610.1")</f>
        <v>XM_033701610.1</v>
      </c>
    </row>
    <row r="307" spans="1:7" x14ac:dyDescent="0.35">
      <c r="A307" t="s">
        <v>216</v>
      </c>
      <c r="B307">
        <v>129</v>
      </c>
      <c r="C307">
        <v>129</v>
      </c>
      <c r="D307" s="2">
        <v>0.95</v>
      </c>
      <c r="E307" s="3">
        <v>5.0000000000000004E-32</v>
      </c>
      <c r="F307">
        <v>35.68</v>
      </c>
      <c r="G307" t="str">
        <f>HYPERLINK("https://www.ncbi.nlm.nih.gov/nucleotide/XM_024034823.1?report=genbank&amp;log$=nucltop&amp;blast_rank=100&amp;RID=0RSEE7F6013","XM_024034823.1")</f>
        <v>XM_024034823.1</v>
      </c>
    </row>
    <row r="308" spans="1:7" x14ac:dyDescent="0.35">
      <c r="A308" s="1" t="s">
        <v>951</v>
      </c>
    </row>
    <row r="309" spans="1:7" x14ac:dyDescent="0.35">
      <c r="A309" s="1" t="s">
        <v>952</v>
      </c>
    </row>
    <row r="310" spans="1:7" x14ac:dyDescent="0.35">
      <c r="A310" s="1" t="s">
        <v>2</v>
      </c>
      <c r="B310" s="1" t="s">
        <v>3</v>
      </c>
      <c r="C310" s="1" t="s">
        <v>4</v>
      </c>
      <c r="D310" s="1" t="s">
        <v>5</v>
      </c>
      <c r="E310" s="1" t="s">
        <v>6</v>
      </c>
      <c r="F310" s="1" t="s">
        <v>7</v>
      </c>
      <c r="G310" s="1" t="s">
        <v>8</v>
      </c>
    </row>
    <row r="311" spans="1:7" x14ac:dyDescent="0.35">
      <c r="A311" t="s">
        <v>37</v>
      </c>
      <c r="B311">
        <v>132</v>
      </c>
      <c r="C311">
        <v>311</v>
      </c>
      <c r="D311" s="2">
        <v>0.97</v>
      </c>
      <c r="E311" s="3">
        <v>9.0000000000000006E-58</v>
      </c>
      <c r="F311">
        <v>79.760000000000005</v>
      </c>
      <c r="G311" t="str">
        <f>HYPERLINK("https://www.ncbi.nlm.nih.gov/nucleotide/LR732085.1?report=genbank&amp;log$=nucltop&amp;blast_rank=1&amp;RID=0RSKFUY4016","LR732085.1")</f>
        <v>LR732085.1</v>
      </c>
    </row>
    <row r="312" spans="1:7" x14ac:dyDescent="0.35">
      <c r="A312" t="s">
        <v>19</v>
      </c>
      <c r="B312">
        <v>241</v>
      </c>
      <c r="C312">
        <v>241</v>
      </c>
      <c r="D312" s="2">
        <v>1</v>
      </c>
      <c r="E312" s="3">
        <v>7.9999999999999997E-80</v>
      </c>
      <c r="F312">
        <v>79.02</v>
      </c>
      <c r="G312" t="str">
        <f>HYPERLINK("https://www.ncbi.nlm.nih.gov/nucleotide/XM_001883016.1?report=genbank&amp;log$=nucltop&amp;blast_rank=2&amp;RID=0RSKFUY4016","XM_001883016.1")</f>
        <v>XM_001883016.1</v>
      </c>
    </row>
    <row r="313" spans="1:7" x14ac:dyDescent="0.35">
      <c r="A313" s="4" t="s">
        <v>635</v>
      </c>
      <c r="B313" s="4">
        <v>233</v>
      </c>
      <c r="C313" s="4">
        <v>233</v>
      </c>
      <c r="D313" s="5">
        <v>1</v>
      </c>
      <c r="E313" s="6">
        <v>1.9999999999999999E-74</v>
      </c>
      <c r="F313" s="4">
        <v>74.13</v>
      </c>
      <c r="G313" s="4" t="str">
        <f>HYPERLINK("https://www.ncbi.nlm.nih.gov/nucleotide/XM_027759635.1?report=genbank&amp;log$=nucltop&amp;blast_rank=3&amp;RID=0RSKFUY4016","XM_027759635.1")</f>
        <v>XM_027759635.1</v>
      </c>
    </row>
    <row r="314" spans="1:7" x14ac:dyDescent="0.35">
      <c r="A314" t="s">
        <v>636</v>
      </c>
      <c r="B314">
        <v>231</v>
      </c>
      <c r="C314">
        <v>231</v>
      </c>
      <c r="D314" s="2">
        <v>1</v>
      </c>
      <c r="E314" s="3">
        <v>4E-73</v>
      </c>
      <c r="F314">
        <v>74.13</v>
      </c>
      <c r="G314" t="str">
        <f>HYPERLINK("https://www.ncbi.nlm.nih.gov/nucleotide/XM_007331503.1?report=genbank&amp;log$=nucltop&amp;blast_rank=4&amp;RID=0RSKFUY4016","XM_007331503.1")</f>
        <v>XM_007331503.1</v>
      </c>
    </row>
    <row r="315" spans="1:7" x14ac:dyDescent="0.35">
      <c r="A315" t="s">
        <v>639</v>
      </c>
      <c r="B315">
        <v>233</v>
      </c>
      <c r="C315">
        <v>233</v>
      </c>
      <c r="D315" s="2">
        <v>1</v>
      </c>
      <c r="E315" s="3">
        <v>2E-73</v>
      </c>
      <c r="F315">
        <v>73.430000000000007</v>
      </c>
      <c r="G315" t="str">
        <f>HYPERLINK("https://www.ncbi.nlm.nih.gov/nucleotide/XM_007319931.1?report=genbank&amp;log$=nucltop&amp;blast_rank=5&amp;RID=0RSKFUY4016","XM_007319931.1")</f>
        <v>XM_007319931.1</v>
      </c>
    </row>
    <row r="316" spans="1:7" x14ac:dyDescent="0.35">
      <c r="A316" t="s">
        <v>120</v>
      </c>
      <c r="B316">
        <v>228</v>
      </c>
      <c r="C316">
        <v>228</v>
      </c>
      <c r="D316" s="2">
        <v>1</v>
      </c>
      <c r="E316" s="3">
        <v>9.9999999999999997E-73</v>
      </c>
      <c r="F316">
        <v>73.430000000000007</v>
      </c>
      <c r="G316" t="str">
        <f>HYPERLINK("https://www.ncbi.nlm.nih.gov/nucleotide/XM_012330422.1?report=genbank&amp;log$=nucltop&amp;blast_rank=6&amp;RID=0RSKFUY4016","XM_012330422.1")</f>
        <v>XM_012330422.1</v>
      </c>
    </row>
    <row r="317" spans="1:7" x14ac:dyDescent="0.35">
      <c r="A317" t="s">
        <v>638</v>
      </c>
      <c r="B317">
        <v>227</v>
      </c>
      <c r="C317">
        <v>227</v>
      </c>
      <c r="D317" s="2">
        <v>1</v>
      </c>
      <c r="E317" s="3">
        <v>1.9999999999999999E-72</v>
      </c>
      <c r="F317">
        <v>73.430000000000007</v>
      </c>
      <c r="G317" t="str">
        <f>HYPERLINK("https://www.ncbi.nlm.nih.gov/nucleotide/XM_036771546.1?report=genbank&amp;log$=nucltop&amp;blast_rank=7&amp;RID=0RSKFUY4016","XM_036771546.1")</f>
        <v>XM_036771546.1</v>
      </c>
    </row>
    <row r="318" spans="1:7" x14ac:dyDescent="0.35">
      <c r="A318" t="s">
        <v>640</v>
      </c>
      <c r="B318">
        <v>230</v>
      </c>
      <c r="C318">
        <v>230</v>
      </c>
      <c r="D318" s="2">
        <v>1</v>
      </c>
      <c r="E318" s="3">
        <v>3.0000000000000001E-71</v>
      </c>
      <c r="F318">
        <v>73.430000000000007</v>
      </c>
      <c r="G318" t="str">
        <f>HYPERLINK("https://www.ncbi.nlm.nih.gov/nucleotide/XM_007370223.1?report=genbank&amp;log$=nucltop&amp;blast_rank=8&amp;RID=0RSKFUY4016","XM_007370223.1")</f>
        <v>XM_007370223.1</v>
      </c>
    </row>
    <row r="319" spans="1:7" x14ac:dyDescent="0.35">
      <c r="A319" t="s">
        <v>198</v>
      </c>
      <c r="B319">
        <v>233</v>
      </c>
      <c r="C319">
        <v>233</v>
      </c>
      <c r="D319" s="2">
        <v>1</v>
      </c>
      <c r="E319" s="3">
        <v>1E-73</v>
      </c>
      <c r="F319">
        <v>73.239999999999995</v>
      </c>
      <c r="G319" t="str">
        <f>HYPERLINK("https://www.ncbi.nlm.nih.gov/nucleotide/XM_007871867.1?report=genbank&amp;log$=nucltop&amp;blast_rank=9&amp;RID=0RSKFUY4016","XM_007871867.1")</f>
        <v>XM_007871867.1</v>
      </c>
    </row>
    <row r="320" spans="1:7" x14ac:dyDescent="0.35">
      <c r="A320" t="s">
        <v>21</v>
      </c>
      <c r="B320">
        <v>228</v>
      </c>
      <c r="C320">
        <v>228</v>
      </c>
      <c r="D320" s="2">
        <v>1</v>
      </c>
      <c r="E320" s="3">
        <v>1.9999999999999999E-74</v>
      </c>
      <c r="F320">
        <v>72.92</v>
      </c>
      <c r="G320" t="str">
        <f>HYPERLINK("https://www.ncbi.nlm.nih.gov/nucleotide/XM_009554521.1?report=genbank&amp;log$=nucltop&amp;blast_rank=10&amp;RID=0RSKFUY4016","XM_009554521.1")</f>
        <v>XM_009554521.1</v>
      </c>
    </row>
    <row r="321" spans="1:7" x14ac:dyDescent="0.35">
      <c r="A321" t="s">
        <v>641</v>
      </c>
      <c r="B321">
        <v>223</v>
      </c>
      <c r="C321">
        <v>223</v>
      </c>
      <c r="D321" s="2">
        <v>1</v>
      </c>
      <c r="E321" s="3">
        <v>2E-70</v>
      </c>
      <c r="F321">
        <v>72.03</v>
      </c>
      <c r="G321" t="str">
        <f>HYPERLINK("https://www.ncbi.nlm.nih.gov/nucleotide/XM_024482046.1?report=genbank&amp;log$=nucltop&amp;blast_rank=11&amp;RID=0RSKFUY4016","XM_024482046.1")</f>
        <v>XM_024482046.1</v>
      </c>
    </row>
    <row r="322" spans="1:7" x14ac:dyDescent="0.35">
      <c r="A322" t="s">
        <v>642</v>
      </c>
      <c r="B322">
        <v>228</v>
      </c>
      <c r="C322">
        <v>228</v>
      </c>
      <c r="D322" s="2">
        <v>1</v>
      </c>
      <c r="E322" s="3">
        <v>6.0000000000000003E-70</v>
      </c>
      <c r="F322">
        <v>71.33</v>
      </c>
      <c r="G322" t="str">
        <f>HYPERLINK("https://www.ncbi.nlm.nih.gov/nucleotide/XM_007397641.1?report=genbank&amp;log$=nucltop&amp;blast_rank=12&amp;RID=0RSKFUY4016","XM_007397641.1")</f>
        <v>XM_007397641.1</v>
      </c>
    </row>
    <row r="323" spans="1:7" x14ac:dyDescent="0.35">
      <c r="A323" t="s">
        <v>126</v>
      </c>
      <c r="B323">
        <v>224</v>
      </c>
      <c r="C323">
        <v>224</v>
      </c>
      <c r="D323" s="2">
        <v>1</v>
      </c>
      <c r="E323" s="3">
        <v>1.9999999999999999E-69</v>
      </c>
      <c r="F323">
        <v>71.33</v>
      </c>
      <c r="G323" t="str">
        <f>HYPERLINK("https://www.ncbi.nlm.nih.gov/nucleotide/XM_007775845.1?report=genbank&amp;log$=nucltop&amp;blast_rank=13&amp;RID=0RSKFUY4016","XM_007775845.1")</f>
        <v>XM_007775845.1</v>
      </c>
    </row>
    <row r="324" spans="1:7" x14ac:dyDescent="0.35">
      <c r="A324" t="s">
        <v>644</v>
      </c>
      <c r="B324">
        <v>217</v>
      </c>
      <c r="C324">
        <v>217</v>
      </c>
      <c r="D324" s="2">
        <v>1</v>
      </c>
      <c r="E324" s="3">
        <v>7.0000000000000003E-68</v>
      </c>
      <c r="F324">
        <v>71.33</v>
      </c>
      <c r="G324" t="str">
        <f>HYPERLINK("https://www.ncbi.nlm.nih.gov/nucleotide/XM_003028301.1?report=genbank&amp;log$=nucltop&amp;blast_rank=14&amp;RID=0RSKFUY4016","XM_003028301.1")</f>
        <v>XM_003028301.1</v>
      </c>
    </row>
    <row r="325" spans="1:7" x14ac:dyDescent="0.35">
      <c r="A325" t="s">
        <v>643</v>
      </c>
      <c r="B325">
        <v>221</v>
      </c>
      <c r="C325">
        <v>221</v>
      </c>
      <c r="D325" s="2">
        <v>1</v>
      </c>
      <c r="E325" s="3">
        <v>9.0000000000000004E-70</v>
      </c>
      <c r="F325">
        <v>70.55</v>
      </c>
      <c r="G325" t="str">
        <f>HYPERLINK("https://www.ncbi.nlm.nih.gov/nucleotide/XM_006456081.1?report=genbank&amp;log$=nucltop&amp;blast_rank=15&amp;RID=0RSKFUY4016","XM_006456081.1")</f>
        <v>XM_006456081.1</v>
      </c>
    </row>
    <row r="326" spans="1:7" x14ac:dyDescent="0.35">
      <c r="A326" t="s">
        <v>637</v>
      </c>
      <c r="B326">
        <v>231</v>
      </c>
      <c r="C326">
        <v>231</v>
      </c>
      <c r="D326" s="2">
        <v>1</v>
      </c>
      <c r="E326" s="3">
        <v>3.9999999999999998E-74</v>
      </c>
      <c r="F326">
        <v>70.06</v>
      </c>
      <c r="G326" t="str">
        <f>HYPERLINK("https://www.ncbi.nlm.nih.gov/nucleotide/XM_037362762.1?report=genbank&amp;log$=nucltop&amp;blast_rank=16&amp;RID=0RSKFUY4016","XM_037362762.1")</f>
        <v>XM_037362762.1</v>
      </c>
    </row>
    <row r="327" spans="1:7" x14ac:dyDescent="0.35">
      <c r="A327" t="s">
        <v>646</v>
      </c>
      <c r="B327">
        <v>194</v>
      </c>
      <c r="C327">
        <v>194</v>
      </c>
      <c r="D327" s="2">
        <v>1</v>
      </c>
      <c r="E327" s="3">
        <v>6.0000000000000002E-59</v>
      </c>
      <c r="F327">
        <v>69.930000000000007</v>
      </c>
      <c r="G327" t="str">
        <f>HYPERLINK("https://www.ncbi.nlm.nih.gov/nucleotide/XM_007262411.1?report=genbank&amp;log$=nucltop&amp;blast_rank=17&amp;RID=0RSKFUY4016","XM_007262411.1")</f>
        <v>XM_007262411.1</v>
      </c>
    </row>
    <row r="328" spans="1:7" x14ac:dyDescent="0.35">
      <c r="A328" s="4" t="s">
        <v>647</v>
      </c>
      <c r="B328" s="4">
        <v>200</v>
      </c>
      <c r="C328" s="4">
        <v>200</v>
      </c>
      <c r="D328" s="5">
        <v>0.95</v>
      </c>
      <c r="E328" s="6">
        <v>1E-59</v>
      </c>
      <c r="F328" s="4">
        <v>67.88</v>
      </c>
      <c r="G328" s="4" t="str">
        <f>HYPERLINK("https://www.ncbi.nlm.nih.gov/nucleotide/XM_039055562.1?report=genbank&amp;log$=nucltop&amp;blast_rank=18&amp;RID=0RSKFUY4016","XM_039055562.1")</f>
        <v>XM_039055562.1</v>
      </c>
    </row>
    <row r="329" spans="1:7" x14ac:dyDescent="0.35">
      <c r="A329" t="s">
        <v>645</v>
      </c>
      <c r="B329">
        <v>204</v>
      </c>
      <c r="C329">
        <v>204</v>
      </c>
      <c r="D329" s="2">
        <v>0.99</v>
      </c>
      <c r="E329" s="3">
        <v>7.0000000000000003E-62</v>
      </c>
      <c r="F329">
        <v>65.099999999999994</v>
      </c>
      <c r="G329" t="str">
        <f>HYPERLINK("https://www.ncbi.nlm.nih.gov/nucleotide/XM_007380545.1?report=genbank&amp;log$=nucltop&amp;blast_rank=19&amp;RID=0RSKFUY4016","XM_007380545.1")</f>
        <v>XM_007380545.1</v>
      </c>
    </row>
    <row r="330" spans="1:7" x14ac:dyDescent="0.35">
      <c r="A330" t="s">
        <v>662</v>
      </c>
      <c r="B330">
        <v>185</v>
      </c>
      <c r="C330">
        <v>185</v>
      </c>
      <c r="D330" s="2">
        <v>1</v>
      </c>
      <c r="E330" s="3">
        <v>1E-53</v>
      </c>
      <c r="F330">
        <v>61.81</v>
      </c>
      <c r="G330" t="str">
        <f>HYPERLINK("https://www.ncbi.nlm.nih.gov/nucleotide/XM_012193914.1?report=genbank&amp;log$=nucltop&amp;blast_rank=20&amp;RID=0RSKFUY4016","XM_012193914.1")</f>
        <v>XM_012193914.1</v>
      </c>
    </row>
    <row r="331" spans="1:7" x14ac:dyDescent="0.35">
      <c r="A331" t="s">
        <v>650</v>
      </c>
      <c r="B331">
        <v>187</v>
      </c>
      <c r="C331">
        <v>187</v>
      </c>
      <c r="D331" s="2">
        <v>1</v>
      </c>
      <c r="E331" s="3">
        <v>4.0000000000000002E-56</v>
      </c>
      <c r="F331">
        <v>61.11</v>
      </c>
      <c r="G331" t="str">
        <f>HYPERLINK("https://www.ncbi.nlm.nih.gov/nucleotide/XM_019141502.1?report=genbank&amp;log$=nucltop&amp;blast_rank=21&amp;RID=0RSKFUY4016","XM_019141502.1")</f>
        <v>XM_019141502.1</v>
      </c>
    </row>
    <row r="332" spans="1:7" x14ac:dyDescent="0.35">
      <c r="A332" t="s">
        <v>653</v>
      </c>
      <c r="B332">
        <v>184</v>
      </c>
      <c r="C332">
        <v>184</v>
      </c>
      <c r="D332" s="2">
        <v>1</v>
      </c>
      <c r="E332" s="3">
        <v>9.9999999999999999E-56</v>
      </c>
      <c r="F332">
        <v>61.11</v>
      </c>
      <c r="G332" t="str">
        <f>HYPERLINK("https://www.ncbi.nlm.nih.gov/nucleotide/XM_770602.1?report=genbank&amp;log$=nucltop&amp;blast_rank=22&amp;RID=0RSKFUY4016","XM_770602.1")</f>
        <v>XM_770602.1</v>
      </c>
    </row>
    <row r="333" spans="1:7" x14ac:dyDescent="0.35">
      <c r="A333" s="4" t="s">
        <v>656</v>
      </c>
      <c r="B333" s="4">
        <v>184</v>
      </c>
      <c r="C333" s="4">
        <v>184</v>
      </c>
      <c r="D333" s="5">
        <v>1</v>
      </c>
      <c r="E333" s="6">
        <v>2E-55</v>
      </c>
      <c r="F333" s="4">
        <v>61.11</v>
      </c>
      <c r="G333" s="4" t="str">
        <f>HYPERLINK("https://www.ncbi.nlm.nih.gov/nucleotide/XM_003193544.1?report=genbank&amp;log$=nucltop&amp;blast_rank=23&amp;RID=0RSKFUY4016","XM_003193544.1")</f>
        <v>XM_003193544.1</v>
      </c>
    </row>
    <row r="334" spans="1:7" x14ac:dyDescent="0.35">
      <c r="A334" t="s">
        <v>661</v>
      </c>
      <c r="B334">
        <v>184</v>
      </c>
      <c r="C334">
        <v>184</v>
      </c>
      <c r="D334" s="2">
        <v>1</v>
      </c>
      <c r="E334" s="3">
        <v>3.0000000000000001E-54</v>
      </c>
      <c r="F334">
        <v>61.11</v>
      </c>
      <c r="G334" t="str">
        <f>HYPERLINK("https://www.ncbi.nlm.nih.gov/nucleotide/XM_570451.2?report=genbank&amp;log$=nucltop&amp;blast_rank=24&amp;RID=0RSKFUY4016","XM_570451.2")</f>
        <v>XM_570451.2</v>
      </c>
    </row>
    <row r="335" spans="1:7" x14ac:dyDescent="0.35">
      <c r="A335" t="s">
        <v>651</v>
      </c>
      <c r="B335">
        <v>193</v>
      </c>
      <c r="C335">
        <v>193</v>
      </c>
      <c r="D335" s="2">
        <v>1</v>
      </c>
      <c r="E335" s="3">
        <v>6.0000000000000002E-58</v>
      </c>
      <c r="F335">
        <v>60.84</v>
      </c>
      <c r="G335" t="str">
        <f>HYPERLINK("https://www.ncbi.nlm.nih.gov/nucleotide/XM_018421762.1?report=genbank&amp;log$=nucltop&amp;blast_rank=25&amp;RID=0RSKFUY4016","XM_018421762.1")</f>
        <v>XM_018421762.1</v>
      </c>
    </row>
    <row r="336" spans="1:7" x14ac:dyDescent="0.35">
      <c r="A336" t="s">
        <v>655</v>
      </c>
      <c r="B336">
        <v>179</v>
      </c>
      <c r="C336">
        <v>179</v>
      </c>
      <c r="D336" s="2">
        <v>1</v>
      </c>
      <c r="E336" s="3">
        <v>1E-53</v>
      </c>
      <c r="F336">
        <v>59.18</v>
      </c>
      <c r="G336" t="str">
        <f>HYPERLINK("https://www.ncbi.nlm.nih.gov/nucleotide/XM_019176525.1?report=genbank&amp;log$=nucltop&amp;blast_rank=26&amp;RID=0RSKFUY4016","XM_019176525.1")</f>
        <v>XM_019176525.1</v>
      </c>
    </row>
    <row r="337" spans="1:7" x14ac:dyDescent="0.35">
      <c r="A337" t="s">
        <v>649</v>
      </c>
      <c r="B337">
        <v>187</v>
      </c>
      <c r="C337">
        <v>187</v>
      </c>
      <c r="D337" s="2">
        <v>1</v>
      </c>
      <c r="E337" s="3">
        <v>2.9999999999999999E-56</v>
      </c>
      <c r="F337">
        <v>58.74</v>
      </c>
      <c r="G337" t="str">
        <f>HYPERLINK("https://www.ncbi.nlm.nih.gov/nucleotide/XM_028616908.1?report=genbank&amp;log$=nucltop&amp;blast_rank=27&amp;RID=0RSKFUY4016","XM_028616908.1")</f>
        <v>XM_028616908.1</v>
      </c>
    </row>
    <row r="338" spans="1:7" x14ac:dyDescent="0.35">
      <c r="A338" t="s">
        <v>652</v>
      </c>
      <c r="B338">
        <v>185</v>
      </c>
      <c r="C338">
        <v>185</v>
      </c>
      <c r="D338" s="2">
        <v>1</v>
      </c>
      <c r="E338" s="3">
        <v>2E-55</v>
      </c>
      <c r="F338">
        <v>58.74</v>
      </c>
      <c r="G338" t="str">
        <f>HYPERLINK("https://www.ncbi.nlm.nih.gov/nucleotide/XM_032001229.1?report=genbank&amp;log$=nucltop&amp;blast_rank=28&amp;RID=0RSKFUY4016","XM_032001229.1")</f>
        <v>XM_032001229.1</v>
      </c>
    </row>
    <row r="339" spans="1:7" x14ac:dyDescent="0.35">
      <c r="A339" t="s">
        <v>658</v>
      </c>
      <c r="B339">
        <v>182</v>
      </c>
      <c r="C339">
        <v>182</v>
      </c>
      <c r="D339" s="2">
        <v>1</v>
      </c>
      <c r="E339" s="3">
        <v>2.0000000000000001E-54</v>
      </c>
      <c r="F339">
        <v>58.74</v>
      </c>
      <c r="G339" t="str">
        <f>HYPERLINK("https://www.ncbi.nlm.nih.gov/nucleotide/XM_019146799.1?report=genbank&amp;log$=nucltop&amp;blast_rank=29&amp;RID=0RSKFUY4016","XM_019146799.1")</f>
        <v>XM_019146799.1</v>
      </c>
    </row>
    <row r="340" spans="1:7" x14ac:dyDescent="0.35">
      <c r="A340" t="s">
        <v>663</v>
      </c>
      <c r="B340">
        <v>174</v>
      </c>
      <c r="C340">
        <v>174</v>
      </c>
      <c r="D340" s="2">
        <v>0.96</v>
      </c>
      <c r="E340" s="3">
        <v>4E-52</v>
      </c>
      <c r="F340">
        <v>58.7</v>
      </c>
      <c r="G340" t="str">
        <f>HYPERLINK("https://www.ncbi.nlm.nih.gov/nucleotide/XM_007000367.1?report=genbank&amp;log$=nucltop&amp;blast_rank=30&amp;RID=0RSKFUY4016","XM_007000367.1")</f>
        <v>XM_007000367.1</v>
      </c>
    </row>
    <row r="341" spans="1:7" x14ac:dyDescent="0.35">
      <c r="A341" s="4" t="s">
        <v>659</v>
      </c>
      <c r="B341" s="4">
        <v>182</v>
      </c>
      <c r="C341" s="4">
        <v>182</v>
      </c>
      <c r="D341" s="5">
        <v>1</v>
      </c>
      <c r="E341" s="6">
        <v>2.0000000000000001E-54</v>
      </c>
      <c r="F341" s="4">
        <v>58.04</v>
      </c>
      <c r="G341" s="4" t="str">
        <f>HYPERLINK("https://www.ncbi.nlm.nih.gov/nucleotide/XM_019192754.1?report=genbank&amp;log$=nucltop&amp;blast_rank=31&amp;RID=0RSKFUY4016","XM_019192754.1")</f>
        <v>XM_019192754.1</v>
      </c>
    </row>
    <row r="342" spans="1:7" x14ac:dyDescent="0.35">
      <c r="A342" s="4" t="s">
        <v>654</v>
      </c>
      <c r="B342" s="4">
        <v>182</v>
      </c>
      <c r="C342" s="4">
        <v>182</v>
      </c>
      <c r="D342" s="5">
        <v>1</v>
      </c>
      <c r="E342" s="6">
        <v>4.0000000000000001E-54</v>
      </c>
      <c r="F342" s="4">
        <v>58.04</v>
      </c>
      <c r="G342" s="4" t="str">
        <f>HYPERLINK("https://www.ncbi.nlm.nih.gov/nucleotide/XM_019153916.1?report=genbank&amp;log$=nucltop&amp;blast_rank=32&amp;RID=0RSKFUY4016","XM_019153916.1")</f>
        <v>XM_019153916.1</v>
      </c>
    </row>
    <row r="343" spans="1:7" x14ac:dyDescent="0.35">
      <c r="A343" s="4" t="s">
        <v>657</v>
      </c>
      <c r="B343" s="4">
        <v>182</v>
      </c>
      <c r="C343" s="4">
        <v>182</v>
      </c>
      <c r="D343" s="5">
        <v>1</v>
      </c>
      <c r="E343" s="6">
        <v>5.0000000000000002E-54</v>
      </c>
      <c r="F343" s="4">
        <v>58.04</v>
      </c>
      <c r="G343" s="4" t="str">
        <f>HYPERLINK("https://www.ncbi.nlm.nih.gov/nucleotide/XM_018408792.1?report=genbank&amp;log$=nucltop&amp;blast_rank=33&amp;RID=0RSKFUY4016","XM_018408792.1")</f>
        <v>XM_018408792.1</v>
      </c>
    </row>
    <row r="344" spans="1:7" x14ac:dyDescent="0.35">
      <c r="A344" t="s">
        <v>664</v>
      </c>
      <c r="B344">
        <v>170</v>
      </c>
      <c r="C344">
        <v>170</v>
      </c>
      <c r="D344" s="2">
        <v>1</v>
      </c>
      <c r="E344" s="3">
        <v>1E-50</v>
      </c>
      <c r="F344">
        <v>57.34</v>
      </c>
      <c r="G344" t="str">
        <f>HYPERLINK("https://www.ncbi.nlm.nih.gov/nucleotide/AY811864.1?report=genbank&amp;log$=nucltop&amp;blast_rank=34&amp;RID=0RSKFUY4016","AY811864.1")</f>
        <v>AY811864.1</v>
      </c>
    </row>
    <row r="345" spans="1:7" x14ac:dyDescent="0.35">
      <c r="A345" s="4" t="s">
        <v>660</v>
      </c>
      <c r="B345" s="4">
        <v>182</v>
      </c>
      <c r="C345" s="4">
        <v>182</v>
      </c>
      <c r="D345" s="5">
        <v>1</v>
      </c>
      <c r="E345" s="6">
        <v>1E-52</v>
      </c>
      <c r="F345" s="4">
        <v>56.64</v>
      </c>
      <c r="G345" s="4" t="str">
        <f>HYPERLINK("https://www.ncbi.nlm.nih.gov/nucleotide/XM_022013753.1?report=genbank&amp;log$=nucltop&amp;blast_rank=35&amp;RID=0RSKFUY4016","XM_022013753.1")</f>
        <v>XM_022013753.1</v>
      </c>
    </row>
    <row r="346" spans="1:7" x14ac:dyDescent="0.35">
      <c r="A346" t="s">
        <v>667</v>
      </c>
      <c r="B346">
        <v>168</v>
      </c>
      <c r="C346">
        <v>168</v>
      </c>
      <c r="D346" s="2">
        <v>1</v>
      </c>
      <c r="E346" s="3">
        <v>1.9999999999999999E-49</v>
      </c>
      <c r="F346">
        <v>55.24</v>
      </c>
      <c r="G346" t="str">
        <f>HYPERLINK("https://www.ncbi.nlm.nih.gov/nucleotide/XM_037213207.1?report=genbank&amp;log$=nucltop&amp;blast_rank=36&amp;RID=0RSKFUY4016","XM_037213207.1")</f>
        <v>XM_037213207.1</v>
      </c>
    </row>
    <row r="347" spans="1:7" x14ac:dyDescent="0.35">
      <c r="A347" t="s">
        <v>668</v>
      </c>
      <c r="B347">
        <v>168</v>
      </c>
      <c r="C347">
        <v>168</v>
      </c>
      <c r="D347" s="2">
        <v>1</v>
      </c>
      <c r="E347" s="3">
        <v>3.9999999999999997E-49</v>
      </c>
      <c r="F347">
        <v>55.24</v>
      </c>
      <c r="G347" t="str">
        <f>HYPERLINK("https://www.ncbi.nlm.nih.gov/nucleotide/XM_037212088.1?report=genbank&amp;log$=nucltop&amp;blast_rank=37&amp;RID=0RSKFUY4016","XM_037212088.1")</f>
        <v>XM_037212088.1</v>
      </c>
    </row>
    <row r="348" spans="1:7" x14ac:dyDescent="0.35">
      <c r="A348" t="s">
        <v>671</v>
      </c>
      <c r="B348">
        <v>168</v>
      </c>
      <c r="C348">
        <v>168</v>
      </c>
      <c r="D348" s="2">
        <v>1</v>
      </c>
      <c r="E348" s="3">
        <v>3.9999999999999997E-49</v>
      </c>
      <c r="F348">
        <v>55.24</v>
      </c>
      <c r="G348" t="str">
        <f>HYPERLINK("https://www.ncbi.nlm.nih.gov/nucleotide/XM_037212087.1?report=genbank&amp;log$=nucltop&amp;blast_rank=38&amp;RID=0RSKFUY4016","XM_037212087.1")</f>
        <v>XM_037212087.1</v>
      </c>
    </row>
    <row r="349" spans="1:7" x14ac:dyDescent="0.35">
      <c r="A349" t="s">
        <v>670</v>
      </c>
      <c r="B349">
        <v>168</v>
      </c>
      <c r="C349">
        <v>168</v>
      </c>
      <c r="D349" s="2">
        <v>1</v>
      </c>
      <c r="E349" s="3">
        <v>3.9999999999999997E-49</v>
      </c>
      <c r="F349">
        <v>55.24</v>
      </c>
      <c r="G349" t="str">
        <f>HYPERLINK("https://www.ncbi.nlm.nih.gov/nucleotide/XM_037212086.1?report=genbank&amp;log$=nucltop&amp;blast_rank=39&amp;RID=0RSKFUY4016","XM_037212086.1")</f>
        <v>XM_037212086.1</v>
      </c>
    </row>
    <row r="350" spans="1:7" x14ac:dyDescent="0.35">
      <c r="A350" s="4" t="s">
        <v>696</v>
      </c>
      <c r="B350" s="4">
        <v>167</v>
      </c>
      <c r="C350" s="4">
        <v>167</v>
      </c>
      <c r="D350" s="5">
        <v>1</v>
      </c>
      <c r="E350" s="6">
        <v>1.9999999999999999E-48</v>
      </c>
      <c r="F350" s="4">
        <v>54.55</v>
      </c>
      <c r="G350" s="4" t="str">
        <f>HYPERLINK("https://www.ncbi.nlm.nih.gov/nucleotide/NM_001304084.1?report=genbank&amp;log$=nucltop&amp;blast_rank=40&amp;RID=0RSKFUY4016","NM_001304084.1")</f>
        <v>NM_001304084.1</v>
      </c>
    </row>
    <row r="351" spans="1:7" x14ac:dyDescent="0.35">
      <c r="A351" t="s">
        <v>701</v>
      </c>
      <c r="B351">
        <v>167</v>
      </c>
      <c r="C351">
        <v>167</v>
      </c>
      <c r="D351" s="2">
        <v>1</v>
      </c>
      <c r="E351" s="3">
        <v>1.9999999999999999E-48</v>
      </c>
      <c r="F351">
        <v>54.55</v>
      </c>
      <c r="G351" t="str">
        <f>HYPERLINK("https://www.ncbi.nlm.nih.gov/nucleotide/BT079919.1?report=genbank&amp;log$=nucltop&amp;blast_rank=41&amp;RID=0RSKFUY4016","BT079919.1")</f>
        <v>BT079919.1</v>
      </c>
    </row>
    <row r="352" spans="1:7" x14ac:dyDescent="0.35">
      <c r="A352" t="s">
        <v>666</v>
      </c>
      <c r="B352">
        <v>171</v>
      </c>
      <c r="C352">
        <v>171</v>
      </c>
      <c r="D352" s="2">
        <v>1</v>
      </c>
      <c r="E352" s="3">
        <v>8.9999999999999995E-51</v>
      </c>
      <c r="F352">
        <v>54.48</v>
      </c>
      <c r="G352" t="str">
        <f>HYPERLINK("https://www.ncbi.nlm.nih.gov/nucleotide/XM_018413255.1?report=genbank&amp;log$=nucltop&amp;blast_rank=42&amp;RID=0RSKFUY4016","XM_018413255.1")</f>
        <v>XM_018413255.1</v>
      </c>
    </row>
    <row r="353" spans="1:7" x14ac:dyDescent="0.35">
      <c r="A353" t="s">
        <v>665</v>
      </c>
      <c r="B353">
        <v>167</v>
      </c>
      <c r="C353">
        <v>167</v>
      </c>
      <c r="D353" s="2">
        <v>1</v>
      </c>
      <c r="E353" s="3">
        <v>6.9999999999999999E-50</v>
      </c>
      <c r="F353">
        <v>54.48</v>
      </c>
      <c r="G353" t="str">
        <f>HYPERLINK("https://www.ncbi.nlm.nih.gov/nucleotide/XM_016414163.1?report=genbank&amp;log$=nucltop&amp;blast_rank=43&amp;RID=0RSKFUY4016","XM_016414163.1")</f>
        <v>XM_016414163.1</v>
      </c>
    </row>
    <row r="354" spans="1:7" x14ac:dyDescent="0.35">
      <c r="A354" t="s">
        <v>678</v>
      </c>
      <c r="B354">
        <v>167</v>
      </c>
      <c r="C354">
        <v>167</v>
      </c>
      <c r="D354" s="2">
        <v>1</v>
      </c>
      <c r="E354" s="3">
        <v>7.0000000000000001E-49</v>
      </c>
      <c r="F354">
        <v>53.85</v>
      </c>
      <c r="G354" t="str">
        <f>HYPERLINK("https://www.ncbi.nlm.nih.gov/nucleotide/XM_029504171.1?report=genbank&amp;log$=nucltop&amp;blast_rank=44&amp;RID=0RSKFUY4016","XM_029504171.1")</f>
        <v>XM_029504171.1</v>
      </c>
    </row>
    <row r="355" spans="1:7" x14ac:dyDescent="0.35">
      <c r="A355" t="s">
        <v>687</v>
      </c>
      <c r="B355">
        <v>166</v>
      </c>
      <c r="C355">
        <v>166</v>
      </c>
      <c r="D355" s="2">
        <v>1</v>
      </c>
      <c r="E355" s="3">
        <v>9.9999999999999997E-49</v>
      </c>
      <c r="F355">
        <v>53.85</v>
      </c>
      <c r="G355" t="str">
        <f>HYPERLINK("https://www.ncbi.nlm.nih.gov/nucleotide/XM_027287284.1?report=genbank&amp;log$=nucltop&amp;blast_rank=45&amp;RID=0RSKFUY4016","XM_027287284.1")</f>
        <v>XM_027287284.1</v>
      </c>
    </row>
    <row r="356" spans="1:7" x14ac:dyDescent="0.35">
      <c r="A356" t="s">
        <v>688</v>
      </c>
      <c r="B356">
        <v>166</v>
      </c>
      <c r="C356">
        <v>166</v>
      </c>
      <c r="D356" s="2">
        <v>1</v>
      </c>
      <c r="E356" s="3">
        <v>9.9999999999999997E-49</v>
      </c>
      <c r="F356">
        <v>53.85</v>
      </c>
      <c r="G356" t="str">
        <f>HYPERLINK("https://www.ncbi.nlm.nih.gov/nucleotide/XM_022765801.1?report=genbank&amp;log$=nucltop&amp;blast_rank=46&amp;RID=0RSKFUY4016","XM_022765801.1")</f>
        <v>XM_022765801.1</v>
      </c>
    </row>
    <row r="357" spans="1:7" x14ac:dyDescent="0.35">
      <c r="A357" t="s">
        <v>694</v>
      </c>
      <c r="B357">
        <v>166</v>
      </c>
      <c r="C357">
        <v>166</v>
      </c>
      <c r="D357" s="2">
        <v>1</v>
      </c>
      <c r="E357" s="3">
        <v>1.9999999999999999E-48</v>
      </c>
      <c r="F357">
        <v>53.85</v>
      </c>
      <c r="G357" t="str">
        <f>HYPERLINK("https://www.ncbi.nlm.nih.gov/nucleotide/BT057192.1?report=genbank&amp;log$=nucltop&amp;blast_rank=47&amp;RID=0RSKFUY4016","BT057192.1")</f>
        <v>BT057192.1</v>
      </c>
    </row>
    <row r="358" spans="1:7" x14ac:dyDescent="0.35">
      <c r="A358" t="s">
        <v>699</v>
      </c>
      <c r="B358">
        <v>166</v>
      </c>
      <c r="C358">
        <v>166</v>
      </c>
      <c r="D358" s="2">
        <v>1</v>
      </c>
      <c r="E358" s="3">
        <v>1.9999999999999999E-48</v>
      </c>
      <c r="F358">
        <v>53.85</v>
      </c>
      <c r="G358" t="str">
        <f>HYPERLINK("https://www.ncbi.nlm.nih.gov/nucleotide/BT057585.1?report=genbank&amp;log$=nucltop&amp;blast_rank=48&amp;RID=0RSKFUY4016","BT057585.1")</f>
        <v>BT057585.1</v>
      </c>
    </row>
    <row r="359" spans="1:7" x14ac:dyDescent="0.35">
      <c r="A359" t="s">
        <v>709</v>
      </c>
      <c r="B359">
        <v>166</v>
      </c>
      <c r="C359">
        <v>166</v>
      </c>
      <c r="D359" s="2">
        <v>1</v>
      </c>
      <c r="E359" s="3">
        <v>1.9999999999999999E-48</v>
      </c>
      <c r="F359">
        <v>53.85</v>
      </c>
      <c r="G359" t="str">
        <f>HYPERLINK("https://www.ncbi.nlm.nih.gov/nucleotide/XM_038994301.1?report=genbank&amp;log$=nucltop&amp;blast_rank=49&amp;RID=0RSKFUY4016","XM_038994301.1")</f>
        <v>XM_038994301.1</v>
      </c>
    </row>
    <row r="360" spans="1:7" x14ac:dyDescent="0.35">
      <c r="A360" t="s">
        <v>953</v>
      </c>
      <c r="B360">
        <v>166</v>
      </c>
      <c r="C360">
        <v>166</v>
      </c>
      <c r="D360" s="2">
        <v>1</v>
      </c>
      <c r="E360" s="3">
        <v>1.9999999999999999E-48</v>
      </c>
      <c r="F360">
        <v>53.85</v>
      </c>
      <c r="G360" t="str">
        <f>HYPERLINK("https://www.ncbi.nlm.nih.gov/nucleotide/XM_028978798.1?report=genbank&amp;log$=nucltop&amp;blast_rank=50&amp;RID=0RSKFUY4016","XM_028978798.1")</f>
        <v>XM_028978798.1</v>
      </c>
    </row>
    <row r="361" spans="1:7" x14ac:dyDescent="0.35">
      <c r="A361" t="s">
        <v>954</v>
      </c>
      <c r="B361">
        <v>166</v>
      </c>
      <c r="C361">
        <v>166</v>
      </c>
      <c r="D361" s="2">
        <v>1</v>
      </c>
      <c r="E361" s="3">
        <v>1.9999999999999999E-48</v>
      </c>
      <c r="F361">
        <v>53.85</v>
      </c>
      <c r="G361" t="str">
        <f>HYPERLINK("https://www.ncbi.nlm.nih.gov/nucleotide/XM_028978797.1?report=genbank&amp;log$=nucltop&amp;blast_rank=51&amp;RID=0RSKFUY4016","XM_028978797.1")</f>
        <v>XM_028978797.1</v>
      </c>
    </row>
    <row r="362" spans="1:7" x14ac:dyDescent="0.35">
      <c r="A362" t="s">
        <v>715</v>
      </c>
      <c r="B362">
        <v>166</v>
      </c>
      <c r="C362">
        <v>166</v>
      </c>
      <c r="D362" s="2">
        <v>1</v>
      </c>
      <c r="E362" s="3">
        <v>1.9999999999999999E-48</v>
      </c>
      <c r="F362">
        <v>53.85</v>
      </c>
      <c r="G362" t="str">
        <f>HYPERLINK("https://www.ncbi.nlm.nih.gov/nucleotide/XM_029739136.1?report=genbank&amp;log$=nucltop&amp;blast_rank=52&amp;RID=0RSKFUY4016","XM_029739136.1")</f>
        <v>XM_029739136.1</v>
      </c>
    </row>
    <row r="363" spans="1:7" x14ac:dyDescent="0.35">
      <c r="A363" t="s">
        <v>704</v>
      </c>
      <c r="B363">
        <v>166</v>
      </c>
      <c r="C363">
        <v>166</v>
      </c>
      <c r="D363" s="2">
        <v>1</v>
      </c>
      <c r="E363" s="3">
        <v>1.9999999999999999E-48</v>
      </c>
      <c r="F363">
        <v>53.85</v>
      </c>
      <c r="G363" t="str">
        <f>HYPERLINK("https://www.ncbi.nlm.nih.gov/nucleotide/XM_034112645.1?report=genbank&amp;log$=nucltop&amp;blast_rank=53&amp;RID=0RSKFUY4016","XM_034112645.1")</f>
        <v>XM_034112645.1</v>
      </c>
    </row>
    <row r="364" spans="1:7" x14ac:dyDescent="0.35">
      <c r="A364" t="s">
        <v>708</v>
      </c>
      <c r="B364">
        <v>166</v>
      </c>
      <c r="C364">
        <v>166</v>
      </c>
      <c r="D364" s="2">
        <v>1</v>
      </c>
      <c r="E364" s="3">
        <v>1.9999999999999999E-48</v>
      </c>
      <c r="F364">
        <v>53.85</v>
      </c>
      <c r="G364" t="str">
        <f>HYPERLINK("https://www.ncbi.nlm.nih.gov/nucleotide/XM_035608723.1?report=genbank&amp;log$=nucltop&amp;blast_rank=54&amp;RID=0RSKFUY4016","XM_035608723.1")</f>
        <v>XM_035608723.1</v>
      </c>
    </row>
    <row r="365" spans="1:7" x14ac:dyDescent="0.35">
      <c r="A365" t="s">
        <v>716</v>
      </c>
      <c r="B365">
        <v>167</v>
      </c>
      <c r="C365">
        <v>167</v>
      </c>
      <c r="D365" s="2">
        <v>1</v>
      </c>
      <c r="E365" s="3">
        <v>1.9999999999999999E-48</v>
      </c>
      <c r="F365">
        <v>53.85</v>
      </c>
      <c r="G365" t="str">
        <f>HYPERLINK("https://www.ncbi.nlm.nih.gov/nucleotide/XM_004078396.4?report=genbank&amp;log$=nucltop&amp;blast_rank=55&amp;RID=0RSKFUY4016","XM_004078396.4")</f>
        <v>XM_004078396.4</v>
      </c>
    </row>
    <row r="366" spans="1:7" x14ac:dyDescent="0.35">
      <c r="A366" t="s">
        <v>720</v>
      </c>
      <c r="B366">
        <v>166</v>
      </c>
      <c r="C366">
        <v>166</v>
      </c>
      <c r="D366" s="2">
        <v>1</v>
      </c>
      <c r="E366" s="3">
        <v>1.9999999999999999E-48</v>
      </c>
      <c r="F366">
        <v>53.85</v>
      </c>
      <c r="G366" t="str">
        <f>HYPERLINK("https://www.ncbi.nlm.nih.gov/nucleotide/XM_029679786.1?report=genbank&amp;log$=nucltop&amp;blast_rank=56&amp;RID=0RSKFUY4016","XM_029679786.1")</f>
        <v>XM_029679786.1</v>
      </c>
    </row>
    <row r="367" spans="1:7" x14ac:dyDescent="0.35">
      <c r="A367" t="s">
        <v>700</v>
      </c>
      <c r="B367">
        <v>167</v>
      </c>
      <c r="C367">
        <v>167</v>
      </c>
      <c r="D367" s="2">
        <v>1</v>
      </c>
      <c r="E367" s="3">
        <v>1.9999999999999999E-48</v>
      </c>
      <c r="F367">
        <v>53.85</v>
      </c>
      <c r="G367" t="str">
        <f>HYPERLINK("https://www.ncbi.nlm.nih.gov/nucleotide/XM_029625952.1?report=genbank&amp;log$=nucltop&amp;blast_rank=57&amp;RID=0RSKFUY4016","XM_029625952.1")</f>
        <v>XM_029625952.1</v>
      </c>
    </row>
    <row r="368" spans="1:7" x14ac:dyDescent="0.35">
      <c r="A368" t="s">
        <v>705</v>
      </c>
      <c r="B368">
        <v>166</v>
      </c>
      <c r="C368">
        <v>166</v>
      </c>
      <c r="D368" s="2">
        <v>1</v>
      </c>
      <c r="E368" s="3">
        <v>1.9999999999999999E-48</v>
      </c>
      <c r="F368">
        <v>53.85</v>
      </c>
      <c r="G368" t="str">
        <f>HYPERLINK("https://www.ncbi.nlm.nih.gov/nucleotide/XM_029737379.1?report=genbank&amp;log$=nucltop&amp;blast_rank=58&amp;RID=0RSKFUY4016","XM_029737379.1")</f>
        <v>XM_029737379.1</v>
      </c>
    </row>
    <row r="369" spans="1:7" x14ac:dyDescent="0.35">
      <c r="A369" t="s">
        <v>722</v>
      </c>
      <c r="B369">
        <v>166</v>
      </c>
      <c r="C369">
        <v>166</v>
      </c>
      <c r="D369" s="2">
        <v>1</v>
      </c>
      <c r="E369" s="3">
        <v>1.9999999999999999E-48</v>
      </c>
      <c r="F369">
        <v>53.85</v>
      </c>
      <c r="G369" t="str">
        <f>HYPERLINK("https://www.ncbi.nlm.nih.gov/nucleotide/XM_024385925.1?report=genbank&amp;log$=nucltop&amp;blast_rank=59&amp;RID=0RSKFUY4016","XM_024385925.1")</f>
        <v>XM_024385925.1</v>
      </c>
    </row>
    <row r="370" spans="1:7" x14ac:dyDescent="0.35">
      <c r="A370" t="s">
        <v>718</v>
      </c>
      <c r="B370">
        <v>167</v>
      </c>
      <c r="C370">
        <v>167</v>
      </c>
      <c r="D370" s="2">
        <v>1</v>
      </c>
      <c r="E370" s="3">
        <v>1.9999999999999999E-48</v>
      </c>
      <c r="F370">
        <v>53.85</v>
      </c>
      <c r="G370" t="str">
        <f>HYPERLINK("https://www.ncbi.nlm.nih.gov/nucleotide/XM_035608725.1?report=genbank&amp;log$=nucltop&amp;blast_rank=60&amp;RID=0RSKFUY4016","XM_035608725.1")</f>
        <v>XM_035608725.1</v>
      </c>
    </row>
    <row r="371" spans="1:7" x14ac:dyDescent="0.35">
      <c r="A371" t="s">
        <v>695</v>
      </c>
      <c r="B371">
        <v>167</v>
      </c>
      <c r="C371">
        <v>167</v>
      </c>
      <c r="D371" s="2">
        <v>1</v>
      </c>
      <c r="E371" s="3">
        <v>1.9999999999999999E-48</v>
      </c>
      <c r="F371">
        <v>53.85</v>
      </c>
      <c r="G371" t="str">
        <f>HYPERLINK("https://www.ncbi.nlm.nih.gov/nucleotide/XM_014031170.1?report=genbank&amp;log$=nucltop&amp;blast_rank=61&amp;RID=0RSKFUY4016","XM_014031170.1")</f>
        <v>XM_014031170.1</v>
      </c>
    </row>
    <row r="372" spans="1:7" x14ac:dyDescent="0.35">
      <c r="A372" t="s">
        <v>727</v>
      </c>
      <c r="B372">
        <v>166</v>
      </c>
      <c r="C372">
        <v>166</v>
      </c>
      <c r="D372" s="2">
        <v>1</v>
      </c>
      <c r="E372" s="3">
        <v>2.9999999999999999E-48</v>
      </c>
      <c r="F372">
        <v>53.85</v>
      </c>
      <c r="G372" t="str">
        <f>HYPERLINK("https://www.ncbi.nlm.nih.gov/nucleotide/XM_014200714.1?report=genbank&amp;log$=nucltop&amp;blast_rank=62&amp;RID=0RSKFUY4016","XM_014200714.1")</f>
        <v>XM_014200714.1</v>
      </c>
    </row>
    <row r="373" spans="1:7" x14ac:dyDescent="0.35">
      <c r="A373" t="s">
        <v>955</v>
      </c>
      <c r="B373">
        <v>166</v>
      </c>
      <c r="C373">
        <v>166</v>
      </c>
      <c r="D373" s="2">
        <v>1</v>
      </c>
      <c r="E373" s="3">
        <v>2.9999999999999999E-48</v>
      </c>
      <c r="F373">
        <v>53.85</v>
      </c>
      <c r="G373" t="str">
        <f>HYPERLINK("https://www.ncbi.nlm.nih.gov/nucleotide/XM_023980123.1?report=genbank&amp;log$=nucltop&amp;blast_rank=63&amp;RID=0RSKFUY4016","XM_023980123.1")</f>
        <v>XM_023980123.1</v>
      </c>
    </row>
    <row r="374" spans="1:7" x14ac:dyDescent="0.35">
      <c r="A374" t="s">
        <v>706</v>
      </c>
      <c r="B374">
        <v>166</v>
      </c>
      <c r="C374">
        <v>166</v>
      </c>
      <c r="D374" s="2">
        <v>1</v>
      </c>
      <c r="E374" s="3">
        <v>2.9999999999999999E-48</v>
      </c>
      <c r="F374">
        <v>53.85</v>
      </c>
      <c r="G374" t="str">
        <f>HYPERLINK("https://www.ncbi.nlm.nih.gov/nucleotide/XM_030393239.1?report=genbank&amp;log$=nucltop&amp;blast_rank=64&amp;RID=0RSKFUY4016","XM_030393239.1")</f>
        <v>XM_030393239.1</v>
      </c>
    </row>
    <row r="375" spans="1:7" x14ac:dyDescent="0.35">
      <c r="A375" t="s">
        <v>956</v>
      </c>
      <c r="B375">
        <v>166</v>
      </c>
      <c r="C375">
        <v>166</v>
      </c>
      <c r="D375" s="2">
        <v>1</v>
      </c>
      <c r="E375" s="3">
        <v>2.9999999999999999E-48</v>
      </c>
      <c r="F375">
        <v>53.85</v>
      </c>
      <c r="G375" t="str">
        <f>HYPERLINK("https://www.ncbi.nlm.nih.gov/nucleotide/XM_024396042.1?report=genbank&amp;log$=nucltop&amp;blast_rank=65&amp;RID=0RSKFUY4016","XM_024396042.1")</f>
        <v>XM_024396042.1</v>
      </c>
    </row>
    <row r="376" spans="1:7" x14ac:dyDescent="0.35">
      <c r="A376" t="s">
        <v>957</v>
      </c>
      <c r="B376">
        <v>166</v>
      </c>
      <c r="C376">
        <v>166</v>
      </c>
      <c r="D376" s="2">
        <v>1</v>
      </c>
      <c r="E376" s="3">
        <v>2.9999999999999999E-48</v>
      </c>
      <c r="F376">
        <v>53.85</v>
      </c>
      <c r="G376" t="str">
        <f>HYPERLINK("https://www.ncbi.nlm.nih.gov/nucleotide/XM_029504170.1?report=genbank&amp;log$=nucltop&amp;blast_rank=66&amp;RID=0RSKFUY4016","XM_029504170.1")</f>
        <v>XM_029504170.1</v>
      </c>
    </row>
    <row r="377" spans="1:7" x14ac:dyDescent="0.35">
      <c r="A377" t="s">
        <v>726</v>
      </c>
      <c r="B377">
        <v>167</v>
      </c>
      <c r="C377">
        <v>167</v>
      </c>
      <c r="D377" s="2">
        <v>1</v>
      </c>
      <c r="E377" s="3">
        <v>2.9999999999999999E-48</v>
      </c>
      <c r="F377">
        <v>53.85</v>
      </c>
      <c r="G377" t="str">
        <f>HYPERLINK("https://www.ncbi.nlm.nih.gov/nucleotide/XM_037454853.1?report=genbank&amp;log$=nucltop&amp;blast_rank=67&amp;RID=0RSKFUY4016","XM_037454853.1")</f>
        <v>XM_037454853.1</v>
      </c>
    </row>
    <row r="378" spans="1:7" x14ac:dyDescent="0.35">
      <c r="A378" t="s">
        <v>721</v>
      </c>
      <c r="B378">
        <v>166</v>
      </c>
      <c r="C378">
        <v>166</v>
      </c>
      <c r="D378" s="2">
        <v>1</v>
      </c>
      <c r="E378" s="3">
        <v>2.9999999999999999E-48</v>
      </c>
      <c r="F378">
        <v>53.85</v>
      </c>
      <c r="G378" t="str">
        <f>HYPERLINK("https://www.ncbi.nlm.nih.gov/nucleotide/XM_029679785.1?report=genbank&amp;log$=nucltop&amp;blast_rank=68&amp;RID=0RSKFUY4016","XM_029679785.1")</f>
        <v>XM_029679785.1</v>
      </c>
    </row>
    <row r="379" spans="1:7" x14ac:dyDescent="0.35">
      <c r="A379" t="s">
        <v>958</v>
      </c>
      <c r="B379">
        <v>167</v>
      </c>
      <c r="C379">
        <v>167</v>
      </c>
      <c r="D379" s="2">
        <v>1</v>
      </c>
      <c r="E379" s="3">
        <v>2.9999999999999999E-48</v>
      </c>
      <c r="F379">
        <v>53.85</v>
      </c>
      <c r="G379" t="str">
        <f>HYPERLINK("https://www.ncbi.nlm.nih.gov/nucleotide/XM_028470058.1?report=genbank&amp;log$=nucltop&amp;blast_rank=69&amp;RID=0RSKFUY4016","XM_028470058.1")</f>
        <v>XM_028470058.1</v>
      </c>
    </row>
    <row r="380" spans="1:7" x14ac:dyDescent="0.35">
      <c r="A380" t="s">
        <v>959</v>
      </c>
      <c r="B380">
        <v>166</v>
      </c>
      <c r="C380">
        <v>166</v>
      </c>
      <c r="D380" s="2">
        <v>1</v>
      </c>
      <c r="E380" s="3">
        <v>2.9999999999999999E-48</v>
      </c>
      <c r="F380">
        <v>53.85</v>
      </c>
      <c r="G380" t="str">
        <f>HYPERLINK("https://www.ncbi.nlm.nih.gov/nucleotide/XM_031790234.1?report=genbank&amp;log$=nucltop&amp;blast_rank=70&amp;RID=0RSKFUY4016","XM_031790234.1")</f>
        <v>XM_031790234.1</v>
      </c>
    </row>
    <row r="381" spans="1:7" x14ac:dyDescent="0.35">
      <c r="A381" t="s">
        <v>960</v>
      </c>
      <c r="B381">
        <v>166</v>
      </c>
      <c r="C381">
        <v>166</v>
      </c>
      <c r="D381" s="2">
        <v>1</v>
      </c>
      <c r="E381" s="3">
        <v>2.9999999999999999E-48</v>
      </c>
      <c r="F381">
        <v>53.85</v>
      </c>
      <c r="G381" t="str">
        <f>HYPERLINK("https://www.ncbi.nlm.nih.gov/nucleotide/XM_010889865.5?report=genbank&amp;log$=nucltop&amp;blast_rank=71&amp;RID=0RSKFUY4016","XM_010889865.5")</f>
        <v>XM_010889865.5</v>
      </c>
    </row>
    <row r="382" spans="1:7" x14ac:dyDescent="0.35">
      <c r="A382" t="s">
        <v>703</v>
      </c>
      <c r="B382">
        <v>167</v>
      </c>
      <c r="C382">
        <v>167</v>
      </c>
      <c r="D382" s="2">
        <v>1</v>
      </c>
      <c r="E382" s="3">
        <v>2.9999999999999999E-48</v>
      </c>
      <c r="F382">
        <v>53.85</v>
      </c>
      <c r="G382" t="str">
        <f>HYPERLINK("https://www.ncbi.nlm.nih.gov/nucleotide/XM_004078394.4?report=genbank&amp;log$=nucltop&amp;blast_rank=72&amp;RID=0RSKFUY4016","XM_004078394.4")</f>
        <v>XM_004078394.4</v>
      </c>
    </row>
    <row r="383" spans="1:7" x14ac:dyDescent="0.35">
      <c r="A383" t="s">
        <v>723</v>
      </c>
      <c r="B383">
        <v>167</v>
      </c>
      <c r="C383">
        <v>167</v>
      </c>
      <c r="D383" s="2">
        <v>1</v>
      </c>
      <c r="E383" s="3">
        <v>3.9999999999999999E-48</v>
      </c>
      <c r="F383">
        <v>53.85</v>
      </c>
      <c r="G383" t="str">
        <f>HYPERLINK("https://www.ncbi.nlm.nih.gov/nucleotide/XM_031728436.1?report=genbank&amp;log$=nucltop&amp;blast_rank=73&amp;RID=0RSKFUY4016","XM_031728436.1")</f>
        <v>XM_031728436.1</v>
      </c>
    </row>
    <row r="384" spans="1:7" x14ac:dyDescent="0.35">
      <c r="A384" t="s">
        <v>728</v>
      </c>
      <c r="B384">
        <v>167</v>
      </c>
      <c r="C384">
        <v>167</v>
      </c>
      <c r="D384" s="2">
        <v>1</v>
      </c>
      <c r="E384" s="3">
        <v>3.9999999999999999E-48</v>
      </c>
      <c r="F384">
        <v>53.85</v>
      </c>
      <c r="G384" t="str">
        <f>HYPERLINK("https://www.ncbi.nlm.nih.gov/nucleotide/XM_026371615.1?report=genbank&amp;log$=nucltop&amp;blast_rank=74&amp;RID=0RSKFUY4016","XM_026371615.1")</f>
        <v>XM_026371615.1</v>
      </c>
    </row>
    <row r="385" spans="1:7" x14ac:dyDescent="0.35">
      <c r="A385" t="s">
        <v>961</v>
      </c>
      <c r="B385">
        <v>166</v>
      </c>
      <c r="C385">
        <v>166</v>
      </c>
      <c r="D385" s="2">
        <v>1</v>
      </c>
      <c r="E385" s="3">
        <v>3.9999999999999999E-48</v>
      </c>
      <c r="F385">
        <v>53.85</v>
      </c>
      <c r="G385" t="str">
        <f>HYPERLINK("https://www.ncbi.nlm.nih.gov/nucleotide/XM_034211254.1?report=genbank&amp;log$=nucltop&amp;blast_rank=75&amp;RID=0RSKFUY4016","XM_034211254.1")</f>
        <v>XM_034211254.1</v>
      </c>
    </row>
    <row r="386" spans="1:7" x14ac:dyDescent="0.35">
      <c r="A386" t="s">
        <v>962</v>
      </c>
      <c r="B386">
        <v>166</v>
      </c>
      <c r="C386">
        <v>166</v>
      </c>
      <c r="D386" s="2">
        <v>1</v>
      </c>
      <c r="E386" s="3">
        <v>3.9999999999999999E-48</v>
      </c>
      <c r="F386">
        <v>53.85</v>
      </c>
      <c r="G386" t="str">
        <f>HYPERLINK("https://www.ncbi.nlm.nih.gov/nucleotide/XM_031867469.1?report=genbank&amp;log$=nucltop&amp;blast_rank=76&amp;RID=0RSKFUY4016","XM_031867469.1")</f>
        <v>XM_031867469.1</v>
      </c>
    </row>
    <row r="387" spans="1:7" x14ac:dyDescent="0.35">
      <c r="A387" t="s">
        <v>724</v>
      </c>
      <c r="B387">
        <v>167</v>
      </c>
      <c r="C387">
        <v>167</v>
      </c>
      <c r="D387" s="2">
        <v>1</v>
      </c>
      <c r="E387" s="3">
        <v>3.9999999999999999E-48</v>
      </c>
      <c r="F387">
        <v>53.85</v>
      </c>
      <c r="G387" t="str">
        <f>HYPERLINK("https://www.ncbi.nlm.nih.gov/nucleotide/XM_006801780.2?report=genbank&amp;log$=nucltop&amp;blast_rank=77&amp;RID=0RSKFUY4016","XM_006801780.2")</f>
        <v>XM_006801780.2</v>
      </c>
    </row>
    <row r="388" spans="1:7" x14ac:dyDescent="0.35">
      <c r="A388" t="s">
        <v>963</v>
      </c>
      <c r="B388">
        <v>166</v>
      </c>
      <c r="C388">
        <v>166</v>
      </c>
      <c r="D388" s="2">
        <v>1</v>
      </c>
      <c r="E388" s="3">
        <v>3.9999999999999999E-48</v>
      </c>
      <c r="F388">
        <v>53.85</v>
      </c>
      <c r="G388" t="str">
        <f>HYPERLINK("https://www.ncbi.nlm.nih.gov/nucleotide/XM_035750917.1?report=genbank&amp;log$=nucltop&amp;blast_rank=78&amp;RID=0RSKFUY4016","XM_035750917.1")</f>
        <v>XM_035750917.1</v>
      </c>
    </row>
    <row r="389" spans="1:7" x14ac:dyDescent="0.35">
      <c r="A389" t="s">
        <v>964</v>
      </c>
      <c r="B389">
        <v>166</v>
      </c>
      <c r="C389">
        <v>166</v>
      </c>
      <c r="D389" s="2">
        <v>1</v>
      </c>
      <c r="E389" s="3">
        <v>3.9999999999999999E-48</v>
      </c>
      <c r="F389">
        <v>53.85</v>
      </c>
      <c r="G389" t="str">
        <f>HYPERLINK("https://www.ncbi.nlm.nih.gov/nucleotide/XM_034174300.1?report=genbank&amp;log$=nucltop&amp;blast_rank=79&amp;RID=0RSKFUY4016","XM_034174300.1")</f>
        <v>XM_034174300.1</v>
      </c>
    </row>
    <row r="390" spans="1:7" x14ac:dyDescent="0.35">
      <c r="A390" t="s">
        <v>965</v>
      </c>
      <c r="B390">
        <v>166</v>
      </c>
      <c r="C390">
        <v>166</v>
      </c>
      <c r="D390" s="2">
        <v>1</v>
      </c>
      <c r="E390" s="3">
        <v>3.9999999999999999E-48</v>
      </c>
      <c r="F390">
        <v>53.85</v>
      </c>
      <c r="G390" t="str">
        <f>HYPERLINK("https://www.ncbi.nlm.nih.gov/nucleotide/XM_023393404.1?report=genbank&amp;log$=nucltop&amp;blast_rank=80&amp;RID=0RSKFUY4016","XM_023393404.1")</f>
        <v>XM_023393404.1</v>
      </c>
    </row>
    <row r="391" spans="1:7" x14ac:dyDescent="0.35">
      <c r="A391" t="s">
        <v>648</v>
      </c>
      <c r="B391">
        <v>194</v>
      </c>
      <c r="C391">
        <v>194</v>
      </c>
      <c r="D391" s="2">
        <v>0.99</v>
      </c>
      <c r="E391" s="3">
        <v>2.0000000000000001E-56</v>
      </c>
      <c r="F391">
        <v>53.16</v>
      </c>
      <c r="G391" t="str">
        <f>HYPERLINK("https://www.ncbi.nlm.nih.gov/nucleotide/XM_007306985.1?report=genbank&amp;log$=nucltop&amp;blast_rank=81&amp;RID=0RSKFUY4016","XM_007306985.1")</f>
        <v>XM_007306985.1</v>
      </c>
    </row>
    <row r="392" spans="1:7" x14ac:dyDescent="0.35">
      <c r="A392" t="s">
        <v>681</v>
      </c>
      <c r="B392">
        <v>164</v>
      </c>
      <c r="C392">
        <v>164</v>
      </c>
      <c r="D392" s="2">
        <v>1</v>
      </c>
      <c r="E392" s="3">
        <v>9.9999999999999997E-49</v>
      </c>
      <c r="F392">
        <v>53.15</v>
      </c>
      <c r="G392" t="str">
        <f>HYPERLINK("https://www.ncbi.nlm.nih.gov/nucleotide/XM_031590225.1?report=genbank&amp;log$=nucltop&amp;blast_rank=82&amp;RID=0RSKFUY4016","XM_031590225.1")</f>
        <v>XM_031590225.1</v>
      </c>
    </row>
    <row r="393" spans="1:7" x14ac:dyDescent="0.35">
      <c r="A393" t="s">
        <v>677</v>
      </c>
      <c r="B393">
        <v>165</v>
      </c>
      <c r="C393">
        <v>165</v>
      </c>
      <c r="D393" s="2">
        <v>1</v>
      </c>
      <c r="E393" s="3">
        <v>9.9999999999999997E-49</v>
      </c>
      <c r="F393">
        <v>53.15</v>
      </c>
      <c r="G393" t="str">
        <f>HYPERLINK("https://www.ncbi.nlm.nih.gov/nucleotide/BT019344.1?report=genbank&amp;log$=nucltop&amp;blast_rank=83&amp;RID=0RSKFUY4016","BT019344.1")</f>
        <v>BT019344.1</v>
      </c>
    </row>
    <row r="394" spans="1:7" x14ac:dyDescent="0.35">
      <c r="A394" t="s">
        <v>675</v>
      </c>
      <c r="B394">
        <v>165</v>
      </c>
      <c r="C394">
        <v>165</v>
      </c>
      <c r="D394" s="2">
        <v>1</v>
      </c>
      <c r="E394" s="3">
        <v>9.9999999999999997E-49</v>
      </c>
      <c r="F394">
        <v>53.15</v>
      </c>
      <c r="G394" t="str">
        <f>HYPERLINK("https://www.ncbi.nlm.nih.gov/nucleotide/AB528700.1?report=genbank&amp;log$=nucltop&amp;blast_rank=84&amp;RID=0RSKFUY4016","AB528700.1")</f>
        <v>AB528700.1</v>
      </c>
    </row>
    <row r="395" spans="1:7" x14ac:dyDescent="0.35">
      <c r="A395" t="s">
        <v>676</v>
      </c>
      <c r="B395">
        <v>165</v>
      </c>
      <c r="C395">
        <v>165</v>
      </c>
      <c r="D395" s="2">
        <v>1</v>
      </c>
      <c r="E395" s="3">
        <v>9.9999999999999997E-49</v>
      </c>
      <c r="F395">
        <v>53.15</v>
      </c>
      <c r="G395" t="str">
        <f>HYPERLINK("https://www.ncbi.nlm.nih.gov/nucleotide/BT019345.1?report=genbank&amp;log$=nucltop&amp;blast_rank=85&amp;RID=0RSKFUY4016","BT019345.1")</f>
        <v>BT019345.1</v>
      </c>
    </row>
    <row r="396" spans="1:7" x14ac:dyDescent="0.35">
      <c r="A396" t="s">
        <v>691</v>
      </c>
      <c r="B396">
        <v>164</v>
      </c>
      <c r="C396">
        <v>164</v>
      </c>
      <c r="D396" s="2">
        <v>1</v>
      </c>
      <c r="E396" s="3">
        <v>9.9999999999999997E-49</v>
      </c>
      <c r="F396">
        <v>53.15</v>
      </c>
      <c r="G396" t="str">
        <f>HYPERLINK("https://www.ncbi.nlm.nih.gov/nucleotide/XM_025913246.1?report=genbank&amp;log$=nucltop&amp;blast_rank=86&amp;RID=0RSKFUY4016","XM_025913246.1")</f>
        <v>XM_025913246.1</v>
      </c>
    </row>
    <row r="397" spans="1:7" x14ac:dyDescent="0.35">
      <c r="A397" t="s">
        <v>692</v>
      </c>
      <c r="B397">
        <v>164</v>
      </c>
      <c r="C397">
        <v>164</v>
      </c>
      <c r="D397" s="2">
        <v>1</v>
      </c>
      <c r="E397" s="3">
        <v>9.9999999999999997E-49</v>
      </c>
      <c r="F397">
        <v>53.15</v>
      </c>
      <c r="G397" t="str">
        <f>HYPERLINK("https://www.ncbi.nlm.nih.gov/nucleotide/X92963.1?report=genbank&amp;log$=nucltop&amp;blast_rank=87&amp;RID=0RSKFUY4016","X92963.1")</f>
        <v>X92963.1</v>
      </c>
    </row>
    <row r="398" spans="1:7" x14ac:dyDescent="0.35">
      <c r="A398" t="s">
        <v>689</v>
      </c>
      <c r="B398">
        <v>164</v>
      </c>
      <c r="C398">
        <v>164</v>
      </c>
      <c r="D398" s="2">
        <v>1</v>
      </c>
      <c r="E398" s="3">
        <v>9.9999999999999997E-49</v>
      </c>
      <c r="F398">
        <v>53.15</v>
      </c>
      <c r="G398" t="str">
        <f>HYPERLINK("https://www.ncbi.nlm.nih.gov/nucleotide/XM_006883343.1?report=genbank&amp;log$=nucltop&amp;blast_rank=88&amp;RID=0RSKFUY4016","XM_006883343.1")</f>
        <v>XM_006883343.1</v>
      </c>
    </row>
    <row r="399" spans="1:7" x14ac:dyDescent="0.35">
      <c r="A399" t="s">
        <v>682</v>
      </c>
      <c r="B399">
        <v>165</v>
      </c>
      <c r="C399">
        <v>165</v>
      </c>
      <c r="D399" s="2">
        <v>1</v>
      </c>
      <c r="E399" s="3">
        <v>9.9999999999999997E-49</v>
      </c>
      <c r="F399">
        <v>53.15</v>
      </c>
      <c r="G399" t="str">
        <f>HYPERLINK("https://www.ncbi.nlm.nih.gov/nucleotide/MG132745.1?report=genbank&amp;log$=nucltop&amp;blast_rank=89&amp;RID=0RSKFUY4016","MG132745.1")</f>
        <v>MG132745.1</v>
      </c>
    </row>
    <row r="400" spans="1:7" x14ac:dyDescent="0.35">
      <c r="A400" t="s">
        <v>684</v>
      </c>
      <c r="B400">
        <v>164</v>
      </c>
      <c r="C400">
        <v>164</v>
      </c>
      <c r="D400" s="2">
        <v>1</v>
      </c>
      <c r="E400" s="3">
        <v>1.9999999999999999E-48</v>
      </c>
      <c r="F400">
        <v>53.15</v>
      </c>
      <c r="G400" t="str">
        <f>HYPERLINK("https://www.ncbi.nlm.nih.gov/nucleotide/XM_009638632.2?report=genbank&amp;log$=nucltop&amp;blast_rank=90&amp;RID=0RSKFUY4016","XM_009638632.2")</f>
        <v>XM_009638632.2</v>
      </c>
    </row>
    <row r="401" spans="1:7" x14ac:dyDescent="0.35">
      <c r="A401" t="s">
        <v>680</v>
      </c>
      <c r="B401">
        <v>164</v>
      </c>
      <c r="C401">
        <v>164</v>
      </c>
      <c r="D401" s="2">
        <v>1</v>
      </c>
      <c r="E401" s="3">
        <v>1.9999999999999999E-48</v>
      </c>
      <c r="F401">
        <v>53.15</v>
      </c>
      <c r="G401" t="str">
        <f>HYPERLINK("https://www.ncbi.nlm.nih.gov/nucleotide/NM_001078672.1?report=genbank&amp;log$=nucltop&amp;blast_rank=91&amp;RID=0RSKFUY4016","NM_001078672.1")</f>
        <v>NM_001078672.1</v>
      </c>
    </row>
    <row r="402" spans="1:7" x14ac:dyDescent="0.35">
      <c r="A402" t="s">
        <v>679</v>
      </c>
      <c r="B402">
        <v>164</v>
      </c>
      <c r="C402">
        <v>164</v>
      </c>
      <c r="D402" s="2">
        <v>1</v>
      </c>
      <c r="E402" s="3">
        <v>1.9999999999999999E-48</v>
      </c>
      <c r="F402">
        <v>53.15</v>
      </c>
      <c r="G402" t="str">
        <f>HYPERLINK("https://www.ncbi.nlm.nih.gov/nucleotide/XM_006883342.1?report=genbank&amp;log$=nucltop&amp;blast_rank=92&amp;RID=0RSKFUY4016","XM_006883342.1")</f>
        <v>XM_006883342.1</v>
      </c>
    </row>
    <row r="403" spans="1:7" x14ac:dyDescent="0.35">
      <c r="A403" t="s">
        <v>683</v>
      </c>
      <c r="B403">
        <v>164</v>
      </c>
      <c r="C403">
        <v>164</v>
      </c>
      <c r="D403" s="2">
        <v>1</v>
      </c>
      <c r="E403" s="3">
        <v>1.9999999999999999E-48</v>
      </c>
      <c r="F403">
        <v>53.15</v>
      </c>
      <c r="G403" t="str">
        <f>HYPERLINK("https://www.ncbi.nlm.nih.gov/nucleotide/XM_030887671.1?report=genbank&amp;log$=nucltop&amp;blast_rank=93&amp;RID=0RSKFUY4016","XM_030887671.1")</f>
        <v>XM_030887671.1</v>
      </c>
    </row>
    <row r="404" spans="1:7" x14ac:dyDescent="0.35">
      <c r="A404" t="s">
        <v>685</v>
      </c>
      <c r="B404">
        <v>164</v>
      </c>
      <c r="C404">
        <v>164</v>
      </c>
      <c r="D404" s="2">
        <v>1</v>
      </c>
      <c r="E404" s="3">
        <v>1.9999999999999999E-48</v>
      </c>
      <c r="F404">
        <v>53.15</v>
      </c>
      <c r="G404" t="str">
        <f>HYPERLINK("https://www.ncbi.nlm.nih.gov/nucleotide/XM_025912909.1?report=genbank&amp;log$=nucltop&amp;blast_rank=94&amp;RID=0RSKFUY4016","XM_025912909.1")</f>
        <v>XM_025912909.1</v>
      </c>
    </row>
    <row r="405" spans="1:7" x14ac:dyDescent="0.35">
      <c r="A405" t="s">
        <v>698</v>
      </c>
      <c r="B405">
        <v>166</v>
      </c>
      <c r="C405">
        <v>166</v>
      </c>
      <c r="D405" s="2">
        <v>1</v>
      </c>
      <c r="E405" s="3">
        <v>1.9999999999999999E-48</v>
      </c>
      <c r="F405">
        <v>53.15</v>
      </c>
      <c r="G405" t="str">
        <f>HYPERLINK("https://www.ncbi.nlm.nih.gov/nucleotide/KJ893054.1?report=genbank&amp;log$=nucltop&amp;blast_rank=95&amp;RID=0RSKFUY4016","KJ893054.1")</f>
        <v>KJ893054.1</v>
      </c>
    </row>
    <row r="406" spans="1:7" x14ac:dyDescent="0.35">
      <c r="A406" t="s">
        <v>713</v>
      </c>
      <c r="B406">
        <v>164</v>
      </c>
      <c r="C406">
        <v>164</v>
      </c>
      <c r="D406" s="2">
        <v>1</v>
      </c>
      <c r="E406" s="3">
        <v>2.9999999999999999E-48</v>
      </c>
      <c r="F406">
        <v>53.15</v>
      </c>
      <c r="G406" t="str">
        <f>HYPERLINK("https://www.ncbi.nlm.nih.gov/nucleotide/XM_031590224.1?report=genbank&amp;log$=nucltop&amp;blast_rank=96&amp;RID=0RSKFUY4016","XM_031590224.1")</f>
        <v>XM_031590224.1</v>
      </c>
    </row>
    <row r="407" spans="1:7" x14ac:dyDescent="0.35">
      <c r="A407" t="s">
        <v>966</v>
      </c>
      <c r="B407">
        <v>164</v>
      </c>
      <c r="C407">
        <v>164</v>
      </c>
      <c r="D407" s="2">
        <v>1</v>
      </c>
      <c r="E407" s="3">
        <v>2.9999999999999999E-48</v>
      </c>
      <c r="F407">
        <v>53.15</v>
      </c>
      <c r="G407" t="str">
        <f>HYPERLINK("https://www.ncbi.nlm.nih.gov/nucleotide/MG133492.1?report=genbank&amp;log$=nucltop&amp;blast_rank=97&amp;RID=0RSKFUY4016","MG133492.1")</f>
        <v>MG133492.1</v>
      </c>
    </row>
    <row r="408" spans="1:7" x14ac:dyDescent="0.35">
      <c r="A408" t="s">
        <v>710</v>
      </c>
      <c r="B408">
        <v>164</v>
      </c>
      <c r="C408">
        <v>164</v>
      </c>
      <c r="D408" s="2">
        <v>1</v>
      </c>
      <c r="E408" s="3">
        <v>2.9999999999999999E-48</v>
      </c>
      <c r="F408">
        <v>53.15</v>
      </c>
      <c r="G408" t="str">
        <f>HYPERLINK("https://www.ncbi.nlm.nih.gov/nucleotide/XM_038740798.1?report=genbank&amp;log$=nucltop&amp;blast_rank=98&amp;RID=0RSKFUY4016","XM_038740798.1")</f>
        <v>XM_038740798.1</v>
      </c>
    </row>
    <row r="409" spans="1:7" x14ac:dyDescent="0.35">
      <c r="A409" t="s">
        <v>690</v>
      </c>
      <c r="B409">
        <v>165</v>
      </c>
      <c r="C409">
        <v>165</v>
      </c>
      <c r="D409" s="2">
        <v>1</v>
      </c>
      <c r="E409" s="3">
        <v>2.9999999999999999E-48</v>
      </c>
      <c r="F409">
        <v>53.15</v>
      </c>
      <c r="G409" t="str">
        <f>HYPERLINK("https://www.ncbi.nlm.nih.gov/nucleotide/BC169529.1?report=genbank&amp;log$=nucltop&amp;blast_rank=99&amp;RID=0RSKFUY4016","BC169529.1")</f>
        <v>BC169529.1</v>
      </c>
    </row>
    <row r="410" spans="1:7" x14ac:dyDescent="0.35">
      <c r="A410" t="s">
        <v>725</v>
      </c>
      <c r="B410">
        <v>165</v>
      </c>
      <c r="C410">
        <v>165</v>
      </c>
      <c r="D410" s="2">
        <v>1</v>
      </c>
      <c r="E410" s="3">
        <v>3.9999999999999999E-48</v>
      </c>
      <c r="F410">
        <v>53.15</v>
      </c>
      <c r="G410" t="str">
        <f>HYPERLINK("https://www.ncbi.nlm.nih.gov/nucleotide/KJ892343.1?report=genbank&amp;log$=nucltop&amp;blast_rank=100&amp;RID=0RSKFUY4016","KJ892343.1")</f>
        <v>KJ892343.1</v>
      </c>
    </row>
    <row r="411" spans="1:7" x14ac:dyDescent="0.35">
      <c r="A411" s="1" t="s">
        <v>967</v>
      </c>
    </row>
    <row r="412" spans="1:7" x14ac:dyDescent="0.35">
      <c r="A412" s="1" t="s">
        <v>2</v>
      </c>
      <c r="B412" s="1" t="s">
        <v>3</v>
      </c>
      <c r="C412" s="1" t="s">
        <v>4</v>
      </c>
      <c r="D412" s="1" t="s">
        <v>5</v>
      </c>
      <c r="E412" s="1" t="s">
        <v>6</v>
      </c>
      <c r="F412" s="1" t="s">
        <v>7</v>
      </c>
      <c r="G412" s="1" t="s">
        <v>8</v>
      </c>
    </row>
    <row r="413" spans="1:7" x14ac:dyDescent="0.35">
      <c r="A413" t="s">
        <v>565</v>
      </c>
      <c r="B413">
        <v>224</v>
      </c>
      <c r="C413">
        <v>224</v>
      </c>
      <c r="D413" s="2">
        <v>0.96</v>
      </c>
      <c r="E413" s="3">
        <v>3.0000000000000001E-70</v>
      </c>
      <c r="F413">
        <v>61.26</v>
      </c>
      <c r="G413" t="str">
        <f>HYPERLINK("https://www.ncbi.nlm.nih.gov/nucleotide/AB508815.1?report=genbank&amp;log$=nucltop&amp;blast_rank=1&amp;RID=0RSN85HB016","AB508815.1")</f>
        <v>AB508815.1</v>
      </c>
    </row>
    <row r="414" spans="1:7" x14ac:dyDescent="0.35">
      <c r="A414" s="4" t="s">
        <v>566</v>
      </c>
      <c r="B414" s="4">
        <v>224</v>
      </c>
      <c r="C414" s="4">
        <v>224</v>
      </c>
      <c r="D414" s="5">
        <v>0.96</v>
      </c>
      <c r="E414" s="6">
        <v>4.9999999999999998E-70</v>
      </c>
      <c r="F414" s="4">
        <v>61.26</v>
      </c>
      <c r="G414" s="4" t="str">
        <f>HYPERLINK("https://www.ncbi.nlm.nih.gov/nucleotide/MF872580.1?report=genbank&amp;log$=nucltop&amp;blast_rank=2&amp;RID=0RSN85HB016","MF872580.1")</f>
        <v>MF872580.1</v>
      </c>
    </row>
    <row r="415" spans="1:7" x14ac:dyDescent="0.35">
      <c r="A415" s="4" t="s">
        <v>568</v>
      </c>
      <c r="B415" s="4">
        <v>217</v>
      </c>
      <c r="C415" s="4">
        <v>217</v>
      </c>
      <c r="D415" s="5">
        <v>0.92</v>
      </c>
      <c r="E415" s="6">
        <v>2.0000000000000001E-68</v>
      </c>
      <c r="F415" s="4">
        <v>60.33</v>
      </c>
      <c r="G415" s="4" t="str">
        <f>HYPERLINK("https://www.ncbi.nlm.nih.gov/nucleotide/XM_007396846.1?report=genbank&amp;log$=nucltop&amp;blast_rank=3&amp;RID=0RSN85HB016","XM_007396846.1")</f>
        <v>XM_007396846.1</v>
      </c>
    </row>
    <row r="416" spans="1:7" x14ac:dyDescent="0.35">
      <c r="A416" s="4" t="s">
        <v>576</v>
      </c>
      <c r="B416" s="4">
        <v>176</v>
      </c>
      <c r="C416" s="4">
        <v>176</v>
      </c>
      <c r="D416" s="5">
        <v>0.73</v>
      </c>
      <c r="E416" s="6">
        <v>1E-51</v>
      </c>
      <c r="F416" s="4">
        <v>60.27</v>
      </c>
      <c r="G416" s="4" t="str">
        <f>HYPERLINK("https://www.ncbi.nlm.nih.gov/nucleotide/XM_009550995.1?report=genbank&amp;log$=nucltop&amp;blast_rank=4&amp;RID=0RSN85HB016","XM_009550995.1")</f>
        <v>XM_009550995.1</v>
      </c>
    </row>
    <row r="417" spans="1:7" x14ac:dyDescent="0.35">
      <c r="A417" s="4" t="s">
        <v>570</v>
      </c>
      <c r="B417" s="4">
        <v>223</v>
      </c>
      <c r="C417" s="4">
        <v>223</v>
      </c>
      <c r="D417" s="5">
        <v>0.92</v>
      </c>
      <c r="E417" s="6">
        <v>2E-70</v>
      </c>
      <c r="F417" s="4">
        <v>60.11</v>
      </c>
      <c r="G417" s="4" t="str">
        <f>HYPERLINK("https://www.ncbi.nlm.nih.gov/nucleotide/XM_007368135.1?report=genbank&amp;log$=nucltop&amp;blast_rank=5&amp;RID=0RSN85HB016","XM_007368135.1")</f>
        <v>XM_007368135.1</v>
      </c>
    </row>
    <row r="418" spans="1:7" x14ac:dyDescent="0.35">
      <c r="A418" s="4" t="s">
        <v>564</v>
      </c>
      <c r="B418" s="4">
        <v>225</v>
      </c>
      <c r="C418" s="4">
        <v>225</v>
      </c>
      <c r="D418" s="5">
        <v>0.98</v>
      </c>
      <c r="E418" s="6">
        <v>7.9999999999999993E-71</v>
      </c>
      <c r="F418" s="4">
        <v>60</v>
      </c>
      <c r="G418" s="4" t="str">
        <f>HYPERLINK("https://www.ncbi.nlm.nih.gov/nucleotide/AB378504.1?report=genbank&amp;log$=nucltop&amp;blast_rank=6&amp;RID=0RSN85HB016","AB378504.1")</f>
        <v>AB378504.1</v>
      </c>
    </row>
    <row r="419" spans="1:7" x14ac:dyDescent="0.35">
      <c r="A419" s="4" t="s">
        <v>567</v>
      </c>
      <c r="B419" s="4">
        <v>235</v>
      </c>
      <c r="C419" s="4">
        <v>235</v>
      </c>
      <c r="D419" s="5">
        <v>1</v>
      </c>
      <c r="E419" s="6">
        <v>1.9999999999999999E-74</v>
      </c>
      <c r="F419" s="4">
        <v>59.9</v>
      </c>
      <c r="G419" s="4" t="str">
        <f>HYPERLINK("https://www.ncbi.nlm.nih.gov/nucleotide/XM_007867111.1?report=genbank&amp;log$=nucltop&amp;blast_rank=7&amp;RID=0RSN85HB016","XM_007867111.1")</f>
        <v>XM_007867111.1</v>
      </c>
    </row>
    <row r="420" spans="1:7" x14ac:dyDescent="0.35">
      <c r="A420" s="4" t="s">
        <v>569</v>
      </c>
      <c r="B420" s="4">
        <v>218</v>
      </c>
      <c r="C420" s="4">
        <v>218</v>
      </c>
      <c r="D420" s="5">
        <v>0.97</v>
      </c>
      <c r="E420" s="6">
        <v>4.9999999999999997E-68</v>
      </c>
      <c r="F420" s="4">
        <v>59.79</v>
      </c>
      <c r="G420" s="4" t="str">
        <f>HYPERLINK("https://www.ncbi.nlm.nih.gov/nucleotide/XM_007304416.1?report=genbank&amp;log$=nucltop&amp;blast_rank=8&amp;RID=0RSN85HB016","XM_007304416.1")</f>
        <v>XM_007304416.1</v>
      </c>
    </row>
    <row r="421" spans="1:7" x14ac:dyDescent="0.35">
      <c r="A421" s="4" t="s">
        <v>563</v>
      </c>
      <c r="B421" s="4">
        <v>234</v>
      </c>
      <c r="C421" s="4">
        <v>234</v>
      </c>
      <c r="D421" s="5">
        <v>0.97</v>
      </c>
      <c r="E421" s="6">
        <v>1.9999999999999999E-72</v>
      </c>
      <c r="F421" s="4">
        <v>59.31</v>
      </c>
      <c r="G421" s="4" t="str">
        <f>HYPERLINK("https://www.ncbi.nlm.nih.gov/nucleotide/XM_007382807.1?report=genbank&amp;log$=nucltop&amp;blast_rank=9&amp;RID=0RSN85HB016","XM_007382807.1")</f>
        <v>XM_007382807.1</v>
      </c>
    </row>
    <row r="422" spans="1:7" x14ac:dyDescent="0.35">
      <c r="A422" s="4" t="s">
        <v>577</v>
      </c>
      <c r="B422" s="4">
        <v>174</v>
      </c>
      <c r="C422" s="4">
        <v>174</v>
      </c>
      <c r="D422" s="5">
        <v>0.78</v>
      </c>
      <c r="E422" s="6">
        <v>3E-51</v>
      </c>
      <c r="F422" s="4">
        <v>59.24</v>
      </c>
      <c r="G422" s="4" t="str">
        <f>HYPERLINK("https://www.ncbi.nlm.nih.gov/nucleotide/JF317687.1?report=genbank&amp;log$=nucltop&amp;blast_rank=10&amp;RID=0RSN85HB016","JF317687.1")</f>
        <v>JF317687.1</v>
      </c>
    </row>
    <row r="423" spans="1:7" x14ac:dyDescent="0.35">
      <c r="A423" s="4" t="s">
        <v>572</v>
      </c>
      <c r="B423" s="4">
        <v>219</v>
      </c>
      <c r="C423" s="4">
        <v>219</v>
      </c>
      <c r="D423" s="5">
        <v>0.94</v>
      </c>
      <c r="E423" s="6">
        <v>5.9999999999999998E-69</v>
      </c>
      <c r="F423" s="4">
        <v>58.82</v>
      </c>
      <c r="G423" s="4" t="str">
        <f>HYPERLINK("https://www.ncbi.nlm.nih.gov/nucleotide/XM_007261273.1?report=genbank&amp;log$=nucltop&amp;blast_rank=11&amp;RID=0RSN85HB016","XM_007261273.1")</f>
        <v>XM_007261273.1</v>
      </c>
    </row>
    <row r="424" spans="1:7" x14ac:dyDescent="0.35">
      <c r="A424" s="4" t="s">
        <v>571</v>
      </c>
      <c r="B424" s="4">
        <v>218</v>
      </c>
      <c r="C424" s="4">
        <v>218</v>
      </c>
      <c r="D424" s="5">
        <v>0.96</v>
      </c>
      <c r="E424" s="6">
        <v>4.9999999999999997E-68</v>
      </c>
      <c r="F424" s="4">
        <v>58.42</v>
      </c>
      <c r="G424" s="4" t="str">
        <f>HYPERLINK("https://www.ncbi.nlm.nih.gov/nucleotide/XM_008040541.1?report=genbank&amp;log$=nucltop&amp;blast_rank=12&amp;RID=0RSN85HB016","XM_008040541.1")</f>
        <v>XM_008040541.1</v>
      </c>
    </row>
    <row r="425" spans="1:7" x14ac:dyDescent="0.35">
      <c r="A425" s="4" t="s">
        <v>573</v>
      </c>
      <c r="B425" s="4">
        <v>223</v>
      </c>
      <c r="C425" s="4">
        <v>223</v>
      </c>
      <c r="D425" s="5">
        <v>0.99</v>
      </c>
      <c r="E425" s="6">
        <v>2E-70</v>
      </c>
      <c r="F425" s="4">
        <v>56.44</v>
      </c>
      <c r="G425" s="4" t="str">
        <f>HYPERLINK("https://www.ncbi.nlm.nih.gov/nucleotide/XM_007772338.1?report=genbank&amp;log$=nucltop&amp;blast_rank=13&amp;RID=0RSN85HB016","XM_007772338.1")</f>
        <v>XM_007772338.1</v>
      </c>
    </row>
    <row r="426" spans="1:7" x14ac:dyDescent="0.35">
      <c r="A426" s="4" t="s">
        <v>578</v>
      </c>
      <c r="B426" s="4">
        <v>49.3</v>
      </c>
      <c r="C426" s="4">
        <v>49.3</v>
      </c>
      <c r="D426" s="5">
        <v>0.19</v>
      </c>
      <c r="E426" s="4">
        <v>2E-3</v>
      </c>
      <c r="F426" s="4">
        <v>55.26</v>
      </c>
      <c r="G426" s="4" t="str">
        <f>HYPERLINK("https://www.ncbi.nlm.nih.gov/nucleotide/XM_024830164.1?report=genbank&amp;log$=nucltop&amp;blast_rank=14&amp;RID=0RSN85HB016","XM_024830164.1")</f>
        <v>XM_024830164.1</v>
      </c>
    </row>
    <row r="427" spans="1:7" x14ac:dyDescent="0.35">
      <c r="A427" t="s">
        <v>616</v>
      </c>
      <c r="B427">
        <v>48.9</v>
      </c>
      <c r="C427">
        <v>48.9</v>
      </c>
      <c r="D427" s="2">
        <v>0.19</v>
      </c>
      <c r="E427">
        <v>7.0000000000000001E-3</v>
      </c>
      <c r="F427">
        <v>55.26</v>
      </c>
      <c r="G427" t="str">
        <f>HYPERLINK("https://www.ncbi.nlm.nih.gov/nucleotide/CP036226.1?report=genbank&amp;log$=nucltop&amp;blast_rank=15&amp;RID=0RSN85HB016","CP036226.1")</f>
        <v>CP036226.1</v>
      </c>
    </row>
    <row r="428" spans="1:7" x14ac:dyDescent="0.35">
      <c r="A428" t="s">
        <v>604</v>
      </c>
      <c r="B428">
        <v>48.1</v>
      </c>
      <c r="C428">
        <v>48.1</v>
      </c>
      <c r="D428" s="2">
        <v>0.19</v>
      </c>
      <c r="E428">
        <v>8.0000000000000002E-3</v>
      </c>
      <c r="F428">
        <v>55.26</v>
      </c>
      <c r="G428" t="str">
        <f>HYPERLINK("https://www.ncbi.nlm.nih.gov/nucleotide/XM_035484557.1?report=genbank&amp;log$=nucltop&amp;blast_rank=16&amp;RID=0RSN85HB016","XM_035484557.1")</f>
        <v>XM_035484557.1</v>
      </c>
    </row>
    <row r="429" spans="1:7" x14ac:dyDescent="0.35">
      <c r="A429" t="s">
        <v>102</v>
      </c>
      <c r="B429">
        <v>47.8</v>
      </c>
      <c r="C429">
        <v>47.8</v>
      </c>
      <c r="D429" s="2">
        <v>0.19</v>
      </c>
      <c r="E429">
        <v>1.4999999999999999E-2</v>
      </c>
      <c r="F429">
        <v>55.26</v>
      </c>
      <c r="G429" t="str">
        <f>HYPERLINK("https://www.ncbi.nlm.nih.gov/nucleotide/CP055898.1?report=genbank&amp;log$=nucltop&amp;blast_rank=17&amp;RID=0RSN85HB016","CP055898.1")</f>
        <v>CP055898.1</v>
      </c>
    </row>
    <row r="430" spans="1:7" x14ac:dyDescent="0.35">
      <c r="A430" t="s">
        <v>574</v>
      </c>
      <c r="B430">
        <v>75.900000000000006</v>
      </c>
      <c r="C430">
        <v>214</v>
      </c>
      <c r="D430" s="2">
        <v>0.87</v>
      </c>
      <c r="E430" s="3">
        <v>2.9999999999999998E-14</v>
      </c>
      <c r="F430">
        <v>55.22</v>
      </c>
      <c r="G430" t="str">
        <f>HYPERLINK("https://www.ncbi.nlm.nih.gov/nucleotide/LR732081.1?report=genbank&amp;log$=nucltop&amp;blast_rank=18&amp;RID=0RSN85HB016","LR732081.1")</f>
        <v>LR732081.1</v>
      </c>
    </row>
    <row r="431" spans="1:7" x14ac:dyDescent="0.35">
      <c r="A431" t="s">
        <v>37</v>
      </c>
      <c r="B431">
        <v>138</v>
      </c>
      <c r="C431">
        <v>235</v>
      </c>
      <c r="D431" s="2">
        <v>0.99</v>
      </c>
      <c r="E431" s="3">
        <v>2E-52</v>
      </c>
      <c r="F431">
        <v>54.14</v>
      </c>
      <c r="G431" t="str">
        <f>HYPERLINK("https://www.ncbi.nlm.nih.gov/nucleotide/LR732085.1?report=genbank&amp;log$=nucltop&amp;blast_rank=19&amp;RID=0RSN85HB016","LR732085.1")</f>
        <v>LR732085.1</v>
      </c>
    </row>
    <row r="432" spans="1:7" x14ac:dyDescent="0.35">
      <c r="A432" s="4" t="s">
        <v>581</v>
      </c>
      <c r="B432" s="4">
        <v>48.9</v>
      </c>
      <c r="C432" s="4">
        <v>48.9</v>
      </c>
      <c r="D432" s="5">
        <v>0.19</v>
      </c>
      <c r="E432" s="4">
        <v>3.0000000000000001E-3</v>
      </c>
      <c r="F432" s="4">
        <v>52.63</v>
      </c>
      <c r="G432" s="4" t="str">
        <f>HYPERLINK("https://www.ncbi.nlm.nih.gov/nucleotide/XM_033562645.1?report=genbank&amp;log$=nucltop&amp;blast_rank=20&amp;RID=0RSN85HB016","XM_033562645.1")</f>
        <v>XM_033562645.1</v>
      </c>
    </row>
    <row r="433" spans="1:7" x14ac:dyDescent="0.35">
      <c r="A433" s="4" t="s">
        <v>582</v>
      </c>
      <c r="B433" s="4">
        <v>48.9</v>
      </c>
      <c r="C433" s="4">
        <v>48.9</v>
      </c>
      <c r="D433" s="5">
        <v>0.19</v>
      </c>
      <c r="E433" s="4">
        <v>4.0000000000000001E-3</v>
      </c>
      <c r="F433" s="4">
        <v>52.63</v>
      </c>
      <c r="G433" s="4" t="str">
        <f>HYPERLINK("https://www.ncbi.nlm.nih.gov/nucleotide/XM_026755757.1?report=genbank&amp;log$=nucltop&amp;blast_rank=21&amp;RID=0RSN85HB016","XM_026755757.1")</f>
        <v>XM_026755757.1</v>
      </c>
    </row>
    <row r="434" spans="1:7" x14ac:dyDescent="0.35">
      <c r="A434" s="4" t="s">
        <v>583</v>
      </c>
      <c r="B434" s="4">
        <v>48.1</v>
      </c>
      <c r="C434" s="4">
        <v>48.1</v>
      </c>
      <c r="D434" s="5">
        <v>0.19</v>
      </c>
      <c r="E434" s="4">
        <v>5.0000000000000001E-3</v>
      </c>
      <c r="F434" s="4">
        <v>52.63</v>
      </c>
      <c r="G434" s="4" t="str">
        <f>HYPERLINK("https://www.ncbi.nlm.nih.gov/nucleotide/XM_001261624.1?report=genbank&amp;log$=nucltop&amp;blast_rank=22&amp;RID=0RSN85HB016","XM_001261624.1")</f>
        <v>XM_001261624.1</v>
      </c>
    </row>
    <row r="435" spans="1:7" x14ac:dyDescent="0.35">
      <c r="A435" s="4" t="s">
        <v>584</v>
      </c>
      <c r="B435" s="4">
        <v>48.1</v>
      </c>
      <c r="C435" s="4">
        <v>48.1</v>
      </c>
      <c r="D435" s="5">
        <v>0.19</v>
      </c>
      <c r="E435" s="4">
        <v>6.0000000000000001E-3</v>
      </c>
      <c r="F435" s="4">
        <v>52.63</v>
      </c>
      <c r="G435" s="4" t="str">
        <f>HYPERLINK("https://www.ncbi.nlm.nih.gov/nucleotide/XM_743744.1?report=genbank&amp;log$=nucltop&amp;blast_rank=23&amp;RID=0RSN85HB016","XM_743744.1")</f>
        <v>XM_743744.1</v>
      </c>
    </row>
    <row r="436" spans="1:7" x14ac:dyDescent="0.35">
      <c r="A436" s="4" t="s">
        <v>585</v>
      </c>
      <c r="B436" s="4">
        <v>48.5</v>
      </c>
      <c r="C436" s="4">
        <v>48.5</v>
      </c>
      <c r="D436" s="5">
        <v>0.19</v>
      </c>
      <c r="E436" s="4">
        <v>6.0000000000000001E-3</v>
      </c>
      <c r="F436" s="4">
        <v>52.63</v>
      </c>
      <c r="G436" s="4" t="str">
        <f>HYPERLINK("https://www.ncbi.nlm.nih.gov/nucleotide/XM_002484164.1?report=genbank&amp;log$=nucltop&amp;blast_rank=24&amp;RID=0RSN85HB016","XM_002484164.1")</f>
        <v>XM_002484164.1</v>
      </c>
    </row>
    <row r="437" spans="1:7" x14ac:dyDescent="0.35">
      <c r="A437" s="4" t="s">
        <v>586</v>
      </c>
      <c r="B437" s="4">
        <v>47.8</v>
      </c>
      <c r="C437" s="4">
        <v>47.8</v>
      </c>
      <c r="D437" s="5">
        <v>0.19</v>
      </c>
      <c r="E437" s="4">
        <v>8.0000000000000002E-3</v>
      </c>
      <c r="F437" s="4">
        <v>52.63</v>
      </c>
      <c r="G437" s="4" t="str">
        <f>HYPERLINK("https://www.ncbi.nlm.nih.gov/nucleotide/XM_002150023.1?report=genbank&amp;log$=nucltop&amp;blast_rank=25&amp;RID=0RSN85HB016","XM_002150023.1")</f>
        <v>XM_002150023.1</v>
      </c>
    </row>
    <row r="438" spans="1:7" x14ac:dyDescent="0.35">
      <c r="A438" t="s">
        <v>587</v>
      </c>
      <c r="B438">
        <v>48.5</v>
      </c>
      <c r="C438">
        <v>48.5</v>
      </c>
      <c r="D438" s="2">
        <v>0.19</v>
      </c>
      <c r="E438">
        <v>0.01</v>
      </c>
      <c r="F438">
        <v>52.63</v>
      </c>
      <c r="G438" t="str">
        <f>HYPERLINK("https://www.ncbi.nlm.nih.gov/nucleotide/CP066510.1?report=genbank&amp;log$=nucltop&amp;blast_rank=26&amp;RID=0RSN85HB016","CP066510.1")</f>
        <v>CP066510.1</v>
      </c>
    </row>
    <row r="439" spans="1:7" x14ac:dyDescent="0.35">
      <c r="A439" t="s">
        <v>589</v>
      </c>
      <c r="B439">
        <v>47.8</v>
      </c>
      <c r="C439">
        <v>47.8</v>
      </c>
      <c r="D439" s="2">
        <v>0.19</v>
      </c>
      <c r="E439">
        <v>1.7999999999999999E-2</v>
      </c>
      <c r="F439">
        <v>52.63</v>
      </c>
      <c r="G439" t="str">
        <f>HYPERLINK("https://www.ncbi.nlm.nih.gov/nucleotide/CP017347.1?report=genbank&amp;log$=nucltop&amp;blast_rank=27&amp;RID=0RSN85HB016","CP017347.1")</f>
        <v>CP017347.1</v>
      </c>
    </row>
    <row r="440" spans="1:7" x14ac:dyDescent="0.35">
      <c r="A440" s="4" t="s">
        <v>588</v>
      </c>
      <c r="B440" s="4">
        <v>46.2</v>
      </c>
      <c r="C440" s="4">
        <v>46.2</v>
      </c>
      <c r="D440" s="5">
        <v>0.19</v>
      </c>
      <c r="E440" s="4">
        <v>3.1E-2</v>
      </c>
      <c r="F440" s="4">
        <v>52.63</v>
      </c>
      <c r="G440" s="4" t="str">
        <f>HYPERLINK("https://www.ncbi.nlm.nih.gov/nucleotide/KF233752.1?report=genbank&amp;log$=nucltop&amp;blast_rank=28&amp;RID=0RSN85HB016","KF233752.1")</f>
        <v>KF233752.1</v>
      </c>
    </row>
    <row r="441" spans="1:7" x14ac:dyDescent="0.35">
      <c r="A441" t="s">
        <v>590</v>
      </c>
      <c r="B441">
        <v>47</v>
      </c>
      <c r="C441">
        <v>47</v>
      </c>
      <c r="D441" s="2">
        <v>0.19</v>
      </c>
      <c r="E441">
        <v>3.1E-2</v>
      </c>
      <c r="F441">
        <v>52.63</v>
      </c>
      <c r="G441" t="str">
        <f>HYPERLINK("https://www.ncbi.nlm.nih.gov/nucleotide/CP045658.1?report=genbank&amp;log$=nucltop&amp;blast_rank=29&amp;RID=0RSN85HB016","CP045658.1")</f>
        <v>CP045658.1</v>
      </c>
    </row>
    <row r="442" spans="1:7" x14ac:dyDescent="0.35">
      <c r="A442" t="s">
        <v>591</v>
      </c>
      <c r="B442">
        <v>47</v>
      </c>
      <c r="C442">
        <v>47</v>
      </c>
      <c r="D442" s="2">
        <v>0.19</v>
      </c>
      <c r="E442">
        <v>3.1E-2</v>
      </c>
      <c r="F442">
        <v>52.63</v>
      </c>
      <c r="G442" t="str">
        <f>HYPERLINK("https://www.ncbi.nlm.nih.gov/nucleotide/CP015872.1?report=genbank&amp;log$=nucltop&amp;blast_rank=30&amp;RID=0RSN85HB016","CP015872.1")</f>
        <v>CP015872.1</v>
      </c>
    </row>
    <row r="443" spans="1:7" x14ac:dyDescent="0.35">
      <c r="A443" s="4" t="s">
        <v>575</v>
      </c>
      <c r="B443" s="4">
        <v>203</v>
      </c>
      <c r="C443" s="4">
        <v>203</v>
      </c>
      <c r="D443" s="5">
        <v>1</v>
      </c>
      <c r="E443" s="6">
        <v>1E-61</v>
      </c>
      <c r="F443" s="4">
        <v>52.4</v>
      </c>
      <c r="G443" s="4" t="str">
        <f>HYPERLINK("https://www.ncbi.nlm.nih.gov/nucleotide/XM_037360141.1?report=genbank&amp;log$=nucltop&amp;blast_rank=31&amp;RID=0RSN85HB016","XM_037360141.1")</f>
        <v>XM_037360141.1</v>
      </c>
    </row>
    <row r="444" spans="1:7" x14ac:dyDescent="0.35">
      <c r="A444" t="s">
        <v>612</v>
      </c>
      <c r="B444">
        <v>55.1</v>
      </c>
      <c r="C444">
        <v>55.1</v>
      </c>
      <c r="D444" s="2">
        <v>0.31</v>
      </c>
      <c r="E444" s="3">
        <v>1.0000000000000001E-5</v>
      </c>
      <c r="F444">
        <v>50.79</v>
      </c>
      <c r="G444" t="str">
        <f>HYPERLINK("https://www.ncbi.nlm.nih.gov/nucleotide/XM_013568610.1?report=genbank&amp;log$=nucltop&amp;blast_rank=32&amp;RID=0RSN85HB016","XM_013568610.1")</f>
        <v>XM_013568610.1</v>
      </c>
    </row>
    <row r="445" spans="1:7" x14ac:dyDescent="0.35">
      <c r="A445" t="s">
        <v>595</v>
      </c>
      <c r="B445">
        <v>213</v>
      </c>
      <c r="C445">
        <v>213</v>
      </c>
      <c r="D445" s="2">
        <v>1</v>
      </c>
      <c r="E445" s="3">
        <v>5.0000000000000001E-60</v>
      </c>
      <c r="F445">
        <v>50.19</v>
      </c>
      <c r="G445" t="str">
        <f>HYPERLINK("https://www.ncbi.nlm.nih.gov/nucleotide/LR732076.1?report=genbank&amp;log$=nucltop&amp;blast_rank=33&amp;RID=0RSN85HB016","LR732076.1")</f>
        <v>LR732076.1</v>
      </c>
    </row>
    <row r="446" spans="1:7" x14ac:dyDescent="0.35">
      <c r="A446" s="4" t="s">
        <v>594</v>
      </c>
      <c r="B446" s="4">
        <v>48.1</v>
      </c>
      <c r="C446" s="4">
        <v>48.1</v>
      </c>
      <c r="D446" s="5">
        <v>0.21</v>
      </c>
      <c r="E446" s="4">
        <v>3.0000000000000001E-3</v>
      </c>
      <c r="F446" s="4">
        <v>50</v>
      </c>
      <c r="G446" s="4" t="str">
        <f>HYPERLINK("https://www.ncbi.nlm.nih.gov/nucleotide/XM_032047508.1?report=genbank&amp;log$=nucltop&amp;blast_rank=34&amp;RID=0RSN85HB016","XM_032047508.1")</f>
        <v>XM_032047508.1</v>
      </c>
    </row>
    <row r="447" spans="1:7" x14ac:dyDescent="0.35">
      <c r="A447" t="s">
        <v>603</v>
      </c>
      <c r="B447">
        <v>47.4</v>
      </c>
      <c r="C447">
        <v>47.4</v>
      </c>
      <c r="D447" s="2">
        <v>0.19</v>
      </c>
      <c r="E447">
        <v>1.7000000000000001E-2</v>
      </c>
      <c r="F447">
        <v>50</v>
      </c>
      <c r="G447" t="str">
        <f>HYPERLINK("https://www.ncbi.nlm.nih.gov/nucleotide/XM_020268649.1?report=genbank&amp;log$=nucltop&amp;blast_rank=35&amp;RID=0RSN85HB016","XM_020268649.1")</f>
        <v>XM_020268649.1</v>
      </c>
    </row>
    <row r="448" spans="1:7" x14ac:dyDescent="0.35">
      <c r="A448" t="s">
        <v>579</v>
      </c>
      <c r="B448">
        <v>166</v>
      </c>
      <c r="C448">
        <v>166</v>
      </c>
      <c r="D448" s="2">
        <v>0.99</v>
      </c>
      <c r="E448" s="3">
        <v>7.0000000000000001E-49</v>
      </c>
      <c r="F448">
        <v>48.22</v>
      </c>
      <c r="G448" t="str">
        <f>HYPERLINK("https://www.ncbi.nlm.nih.gov/nucleotide/XM_006461891.1?report=genbank&amp;log$=nucltop&amp;blast_rank=36&amp;RID=0RSN85HB016","XM_006461891.1")</f>
        <v>XM_006461891.1</v>
      </c>
    </row>
    <row r="449" spans="1:7" x14ac:dyDescent="0.35">
      <c r="A449" t="s">
        <v>580</v>
      </c>
      <c r="B449">
        <v>166</v>
      </c>
      <c r="C449">
        <v>166</v>
      </c>
      <c r="D449" s="2">
        <v>0.99</v>
      </c>
      <c r="E449" s="3">
        <v>7.9999999999999995E-49</v>
      </c>
      <c r="F449">
        <v>48.22</v>
      </c>
      <c r="G449" t="str">
        <f>HYPERLINK("https://www.ncbi.nlm.nih.gov/nucleotide/XM_007327576.1?report=genbank&amp;log$=nucltop&amp;blast_rank=37&amp;RID=0RSN85HB016","XM_007327576.1")</f>
        <v>XM_007327576.1</v>
      </c>
    </row>
    <row r="450" spans="1:7" x14ac:dyDescent="0.35">
      <c r="A450" s="4" t="s">
        <v>596</v>
      </c>
      <c r="B450" s="4">
        <v>45.8</v>
      </c>
      <c r="C450" s="4">
        <v>45.8</v>
      </c>
      <c r="D450" s="5">
        <v>0.19</v>
      </c>
      <c r="E450" s="4">
        <v>4.9000000000000002E-2</v>
      </c>
      <c r="F450" s="4">
        <v>47.37</v>
      </c>
      <c r="G450" s="4" t="str">
        <f>HYPERLINK("https://www.ncbi.nlm.nih.gov/nucleotide/XM_014317887.1?report=genbank&amp;log$=nucltop&amp;blast_rank=38&amp;RID=0RSN85HB016","XM_014317887.1")</f>
        <v>XM_014317887.1</v>
      </c>
    </row>
    <row r="451" spans="1:7" x14ac:dyDescent="0.35">
      <c r="A451" t="s">
        <v>608</v>
      </c>
      <c r="B451">
        <v>51.2</v>
      </c>
      <c r="C451">
        <v>51.2</v>
      </c>
      <c r="D451" s="2">
        <v>0.32</v>
      </c>
      <c r="E451" s="3">
        <v>5.9999999999999995E-4</v>
      </c>
      <c r="F451">
        <v>43.08</v>
      </c>
      <c r="G451" t="str">
        <f>HYPERLINK("https://www.ncbi.nlm.nih.gov/nucleotide/XM_018145729.1?report=genbank&amp;log$=nucltop&amp;blast_rank=39&amp;RID=0RSN85HB016","XM_018145729.1")</f>
        <v>XM_018145729.1</v>
      </c>
    </row>
    <row r="452" spans="1:7" x14ac:dyDescent="0.35">
      <c r="A452" t="s">
        <v>601</v>
      </c>
      <c r="B452">
        <v>54.7</v>
      </c>
      <c r="C452">
        <v>54.7</v>
      </c>
      <c r="D452" s="2">
        <v>0.37</v>
      </c>
      <c r="E452" s="3">
        <v>4.0000000000000003E-5</v>
      </c>
      <c r="F452">
        <v>41.56</v>
      </c>
      <c r="G452" t="str">
        <f>HYPERLINK("https://www.ncbi.nlm.nih.gov/nucleotide/XM_013525843.1?report=genbank&amp;log$=nucltop&amp;blast_rank=40&amp;RID=0RSN85HB016","XM_013525843.1")</f>
        <v>XM_013525843.1</v>
      </c>
    </row>
    <row r="453" spans="1:7" x14ac:dyDescent="0.35">
      <c r="A453" t="s">
        <v>599</v>
      </c>
      <c r="B453">
        <v>154</v>
      </c>
      <c r="C453">
        <v>154</v>
      </c>
      <c r="D453" s="2">
        <v>1</v>
      </c>
      <c r="E453" s="3">
        <v>1.9999999999999999E-39</v>
      </c>
      <c r="F453">
        <v>40.4</v>
      </c>
      <c r="G453" t="str">
        <f>HYPERLINK("https://www.ncbi.nlm.nih.gov/nucleotide/CP015462.1?report=genbank&amp;log$=nucltop&amp;blast_rank=41&amp;RID=0RSN85HB016","CP015462.1")</f>
        <v>CP015462.1</v>
      </c>
    </row>
    <row r="454" spans="1:7" x14ac:dyDescent="0.35">
      <c r="A454" t="s">
        <v>600</v>
      </c>
      <c r="B454">
        <v>154</v>
      </c>
      <c r="C454">
        <v>154</v>
      </c>
      <c r="D454" s="2">
        <v>1</v>
      </c>
      <c r="E454" s="3">
        <v>1.9999999999999999E-39</v>
      </c>
      <c r="F454">
        <v>40.4</v>
      </c>
      <c r="G454" t="str">
        <f>HYPERLINK("https://www.ncbi.nlm.nih.gov/nucleotide/CP039878.1?report=genbank&amp;log$=nucltop&amp;blast_rank=42&amp;RID=0RSN85HB016","CP039878.1")</f>
        <v>CP039878.1</v>
      </c>
    </row>
    <row r="455" spans="1:7" x14ac:dyDescent="0.35">
      <c r="A455" t="s">
        <v>602</v>
      </c>
      <c r="B455">
        <v>107</v>
      </c>
      <c r="C455">
        <v>194</v>
      </c>
      <c r="D455" s="2">
        <v>1</v>
      </c>
      <c r="E455" s="3">
        <v>6.0000000000000001E-23</v>
      </c>
      <c r="F455">
        <v>40.119999999999997</v>
      </c>
      <c r="G455" t="str">
        <f>HYPERLINK("https://www.ncbi.nlm.nih.gov/nucleotide/CP015475.1?report=genbank&amp;log$=nucltop&amp;blast_rank=43&amp;RID=0RSN85HB016","CP015475.1")</f>
        <v>CP015475.1</v>
      </c>
    </row>
    <row r="456" spans="1:7" x14ac:dyDescent="0.35">
      <c r="A456" s="4" t="s">
        <v>614</v>
      </c>
      <c r="B456" s="4">
        <v>47.4</v>
      </c>
      <c r="C456" s="4">
        <v>47.4</v>
      </c>
      <c r="D456" s="5">
        <v>0.44</v>
      </c>
      <c r="E456" s="4">
        <v>1.7000000000000001E-2</v>
      </c>
      <c r="F456" s="4">
        <v>38.200000000000003</v>
      </c>
      <c r="G456" s="4" t="str">
        <f>HYPERLINK("https://www.ncbi.nlm.nih.gov/nucleotide/XM_024920487.1?report=genbank&amp;log$=nucltop&amp;blast_rank=44&amp;RID=0RSN85HB016","XM_024920487.1")</f>
        <v>XM_024920487.1</v>
      </c>
    </row>
    <row r="457" spans="1:7" x14ac:dyDescent="0.35">
      <c r="A457" s="4" t="s">
        <v>609</v>
      </c>
      <c r="B457" s="4">
        <v>97.4</v>
      </c>
      <c r="C457" s="4">
        <v>193</v>
      </c>
      <c r="D457" s="5">
        <v>0.94</v>
      </c>
      <c r="E457" s="6">
        <v>1.9999999999999999E-20</v>
      </c>
      <c r="F457" s="4">
        <v>38.01</v>
      </c>
      <c r="G457" s="4" t="str">
        <f>HYPERLINK("https://www.ncbi.nlm.nih.gov/nucleotide/AB508816.1?report=genbank&amp;log$=nucltop&amp;blast_rank=45&amp;RID=0RSN85HB016","AB508816.1")</f>
        <v>AB508816.1</v>
      </c>
    </row>
    <row r="458" spans="1:7" x14ac:dyDescent="0.35">
      <c r="A458" s="4" t="s">
        <v>627</v>
      </c>
      <c r="B458" s="4">
        <v>46.6</v>
      </c>
      <c r="C458" s="4">
        <v>46.6</v>
      </c>
      <c r="D458" s="5">
        <v>0.44</v>
      </c>
      <c r="E458" s="4">
        <v>1.2999999999999999E-2</v>
      </c>
      <c r="F458" s="4">
        <v>37.08</v>
      </c>
      <c r="G458" s="4" t="str">
        <f>HYPERLINK("https://www.ncbi.nlm.nih.gov/nucleotide/XM_031151746.1?report=genbank&amp;log$=nucltop&amp;blast_rank=46&amp;RID=0RSN85HB016","XM_031151746.1")</f>
        <v>XM_031151746.1</v>
      </c>
    </row>
    <row r="459" spans="1:7" x14ac:dyDescent="0.35">
      <c r="A459" t="s">
        <v>629</v>
      </c>
      <c r="B459">
        <v>48.9</v>
      </c>
      <c r="C459">
        <v>48.9</v>
      </c>
      <c r="D459" s="2">
        <v>0.62</v>
      </c>
      <c r="E459">
        <v>4.0000000000000001E-3</v>
      </c>
      <c r="F459">
        <v>35.61</v>
      </c>
      <c r="G459" t="str">
        <f>HYPERLINK("https://www.ncbi.nlm.nih.gov/nucleotide/XM_007317493.1?report=genbank&amp;log$=nucltop&amp;blast_rank=47&amp;RID=0RSN85HB016","XM_007317493.1")</f>
        <v>XM_007317493.1</v>
      </c>
    </row>
    <row r="460" spans="1:7" x14ac:dyDescent="0.35">
      <c r="A460" t="s">
        <v>968</v>
      </c>
      <c r="B460">
        <v>47</v>
      </c>
      <c r="C460">
        <v>47</v>
      </c>
      <c r="D460" s="2">
        <v>0.62</v>
      </c>
      <c r="E460">
        <v>1.6E-2</v>
      </c>
      <c r="F460">
        <v>35.340000000000003</v>
      </c>
      <c r="G460" t="str">
        <f>HYPERLINK("https://www.ncbi.nlm.nih.gov/nucleotide/XM_027755780.1?report=genbank&amp;log$=nucltop&amp;blast_rank=48&amp;RID=0RSN85HB016","XM_027755780.1")</f>
        <v>XM_027755780.1</v>
      </c>
    </row>
    <row r="461" spans="1:7" x14ac:dyDescent="0.35">
      <c r="A461" t="s">
        <v>619</v>
      </c>
      <c r="B461">
        <v>55.1</v>
      </c>
      <c r="C461">
        <v>55.1</v>
      </c>
      <c r="D461" s="2">
        <v>0.69</v>
      </c>
      <c r="E461" s="3">
        <v>2.0000000000000002E-5</v>
      </c>
      <c r="F461">
        <v>35.14</v>
      </c>
      <c r="G461" t="str">
        <f>HYPERLINK("https://www.ncbi.nlm.nih.gov/nucleotide/XM_029909166.1?report=genbank&amp;log$=nucltop&amp;blast_rank=49&amp;RID=0RSN85HB016","XM_029909166.1")</f>
        <v>XM_029909166.1</v>
      </c>
    </row>
    <row r="462" spans="1:7" x14ac:dyDescent="0.35">
      <c r="A462" t="s">
        <v>610</v>
      </c>
      <c r="B462">
        <v>121</v>
      </c>
      <c r="C462">
        <v>121</v>
      </c>
      <c r="D462" s="2">
        <v>0.89</v>
      </c>
      <c r="E462" s="3">
        <v>6.0000000000000001E-28</v>
      </c>
      <c r="F462">
        <v>35.11</v>
      </c>
      <c r="G462" t="str">
        <f>HYPERLINK("https://www.ncbi.nlm.nih.gov/nucleotide/CP019381.1?report=genbank&amp;log$=nucltop&amp;blast_rank=50&amp;RID=0RSN85HB016","CP019381.1")</f>
        <v>CP019381.1</v>
      </c>
    </row>
    <row r="463" spans="1:7" x14ac:dyDescent="0.35">
      <c r="A463" t="s">
        <v>626</v>
      </c>
      <c r="B463">
        <v>53.5</v>
      </c>
      <c r="C463">
        <v>53.5</v>
      </c>
      <c r="D463" s="2">
        <v>0.6</v>
      </c>
      <c r="E463" s="3">
        <v>1E-4</v>
      </c>
      <c r="F463">
        <v>34.35</v>
      </c>
      <c r="G463" t="str">
        <f>HYPERLINK("https://www.ncbi.nlm.nih.gov/nucleotide/XM_037304152.1?report=genbank&amp;log$=nucltop&amp;blast_rank=51&amp;RID=0RSN85HB016","XM_037304152.1")</f>
        <v>XM_037304152.1</v>
      </c>
    </row>
    <row r="464" spans="1:7" x14ac:dyDescent="0.35">
      <c r="A464" s="4" t="s">
        <v>623</v>
      </c>
      <c r="B464" s="4">
        <v>55.8</v>
      </c>
      <c r="C464" s="4">
        <v>55.8</v>
      </c>
      <c r="D464" s="5">
        <v>0.56999999999999995</v>
      </c>
      <c r="E464" s="6">
        <v>6.9999999999999999E-6</v>
      </c>
      <c r="F464" s="4">
        <v>34.21</v>
      </c>
      <c r="G464" s="4" t="str">
        <f>HYPERLINK("https://www.ncbi.nlm.nih.gov/nucleotide/XM_020270009.1?report=genbank&amp;log$=nucltop&amp;blast_rank=52&amp;RID=0RSN85HB016","XM_020270009.1")</f>
        <v>XM_020270009.1</v>
      </c>
    </row>
    <row r="465" spans="1:7" x14ac:dyDescent="0.35">
      <c r="A465" t="s">
        <v>969</v>
      </c>
      <c r="B465">
        <v>67.8</v>
      </c>
      <c r="C465">
        <v>67.8</v>
      </c>
      <c r="D465" s="2">
        <v>0.8</v>
      </c>
      <c r="E465" s="3">
        <v>1.0000000000000001E-9</v>
      </c>
      <c r="F465">
        <v>34.119999999999997</v>
      </c>
      <c r="G465" t="str">
        <f>HYPERLINK("https://www.ncbi.nlm.nih.gov/nucleotide/XM_033541563.1?report=genbank&amp;log$=nucltop&amp;blast_rank=53&amp;RID=0RSN85HB016","XM_033541563.1")</f>
        <v>XM_033541563.1</v>
      </c>
    </row>
    <row r="466" spans="1:7" x14ac:dyDescent="0.35">
      <c r="A466" t="s">
        <v>164</v>
      </c>
      <c r="B466">
        <v>57.8</v>
      </c>
      <c r="C466">
        <v>57.8</v>
      </c>
      <c r="D466" s="2">
        <v>0.67</v>
      </c>
      <c r="E466" s="3">
        <v>6.0000000000000002E-6</v>
      </c>
      <c r="F466">
        <v>34.03</v>
      </c>
      <c r="G466" t="str">
        <f>HYPERLINK("https://www.ncbi.nlm.nih.gov/nucleotide/XM_009160507.1?report=genbank&amp;log$=nucltop&amp;blast_rank=54&amp;RID=0RSN85HB016","XM_009160507.1")</f>
        <v>XM_009160507.1</v>
      </c>
    </row>
    <row r="467" spans="1:7" x14ac:dyDescent="0.35">
      <c r="A467" t="s">
        <v>252</v>
      </c>
      <c r="B467">
        <v>56.6</v>
      </c>
      <c r="C467">
        <v>56.6</v>
      </c>
      <c r="D467" s="2">
        <v>0.67</v>
      </c>
      <c r="E467" s="3">
        <v>1.0000000000000001E-5</v>
      </c>
      <c r="F467">
        <v>34.03</v>
      </c>
      <c r="G467" t="str">
        <f>HYPERLINK("https://www.ncbi.nlm.nih.gov/nucleotide/XM_018185011.1?report=genbank&amp;log$=nucltop&amp;blast_rank=55&amp;RID=0RSN85HB016","XM_018185011.1")</f>
        <v>XM_018185011.1</v>
      </c>
    </row>
    <row r="468" spans="1:7" x14ac:dyDescent="0.35">
      <c r="A468" t="s">
        <v>617</v>
      </c>
      <c r="B468">
        <v>74.7</v>
      </c>
      <c r="C468">
        <v>74.7</v>
      </c>
      <c r="D468" s="2">
        <v>0.84</v>
      </c>
      <c r="E468" s="3">
        <v>2E-12</v>
      </c>
      <c r="F468">
        <v>33.71</v>
      </c>
      <c r="G468" t="str">
        <f>HYPERLINK("https://www.ncbi.nlm.nih.gov/nucleotide/XM_019169100.1?report=genbank&amp;log$=nucltop&amp;blast_rank=56&amp;RID=0RSN85HB016","XM_019169100.1")</f>
        <v>XM_019169100.1</v>
      </c>
    </row>
    <row r="469" spans="1:7" x14ac:dyDescent="0.35">
      <c r="A469" t="s">
        <v>618</v>
      </c>
      <c r="B469">
        <v>57.8</v>
      </c>
      <c r="C469">
        <v>57.8</v>
      </c>
      <c r="D469" s="2">
        <v>0.67</v>
      </c>
      <c r="E469" s="3">
        <v>3.0000000000000001E-6</v>
      </c>
      <c r="F469">
        <v>33.33</v>
      </c>
      <c r="G469" t="str">
        <f>HYPERLINK("https://www.ncbi.nlm.nih.gov/nucleotide/XM_008726366.1?report=genbank&amp;log$=nucltop&amp;blast_rank=57&amp;RID=0RSN85HB016","XM_008726366.1")</f>
        <v>XM_008726366.1</v>
      </c>
    </row>
    <row r="470" spans="1:7" x14ac:dyDescent="0.35">
      <c r="A470" s="4" t="s">
        <v>624</v>
      </c>
      <c r="B470" s="4">
        <v>56.6</v>
      </c>
      <c r="C470" s="4">
        <v>56.6</v>
      </c>
      <c r="D470" s="5">
        <v>0.76</v>
      </c>
      <c r="E470" s="6">
        <v>3.9999999999999998E-6</v>
      </c>
      <c r="F470" s="4">
        <v>32.92</v>
      </c>
      <c r="G470" s="4" t="str">
        <f>HYPERLINK("https://www.ncbi.nlm.nih.gov/nucleotide/XM_035512815.1?report=genbank&amp;log$=nucltop&amp;blast_rank=58&amp;RID=0RSN85HB016","XM_035512815.1")</f>
        <v>XM_035512815.1</v>
      </c>
    </row>
    <row r="471" spans="1:7" x14ac:dyDescent="0.35">
      <c r="A471" t="s">
        <v>612</v>
      </c>
      <c r="B471">
        <v>51.6</v>
      </c>
      <c r="C471">
        <v>51.6</v>
      </c>
      <c r="D471" s="2">
        <v>0.6</v>
      </c>
      <c r="E471" s="3">
        <v>2.0000000000000001E-4</v>
      </c>
      <c r="F471">
        <v>32.79</v>
      </c>
      <c r="G471" t="str">
        <f>HYPERLINK("https://www.ncbi.nlm.nih.gov/nucleotide/XM_013568568.1?report=genbank&amp;log$=nucltop&amp;blast_rank=59&amp;RID=0RSN85HB016","XM_013568568.1")</f>
        <v>XM_013568568.1</v>
      </c>
    </row>
    <row r="472" spans="1:7" x14ac:dyDescent="0.35">
      <c r="A472" t="s">
        <v>615</v>
      </c>
      <c r="B472">
        <v>62.4</v>
      </c>
      <c r="C472">
        <v>62.4</v>
      </c>
      <c r="D472" s="2">
        <v>0.72</v>
      </c>
      <c r="E472" s="3">
        <v>2E-8</v>
      </c>
      <c r="F472">
        <v>32.67</v>
      </c>
      <c r="G472" t="str">
        <f>HYPERLINK("https://www.ncbi.nlm.nih.gov/nucleotide/XM_019168695.1?report=genbank&amp;log$=nucltop&amp;blast_rank=60&amp;RID=0RSN85HB016","XM_019168695.1")</f>
        <v>XM_019168695.1</v>
      </c>
    </row>
    <row r="473" spans="1:7" x14ac:dyDescent="0.35">
      <c r="A473" t="s">
        <v>621</v>
      </c>
      <c r="B473">
        <v>57.4</v>
      </c>
      <c r="C473">
        <v>57.4</v>
      </c>
      <c r="D473" s="2">
        <v>0.67</v>
      </c>
      <c r="E473" s="3">
        <v>3.9999999999999998E-6</v>
      </c>
      <c r="F473">
        <v>32.64</v>
      </c>
      <c r="G473" t="str">
        <f>HYPERLINK("https://www.ncbi.nlm.nih.gov/nucleotide/XM_007758036.1?report=genbank&amp;log$=nucltop&amp;blast_rank=61&amp;RID=0RSN85HB016","XM_007758036.1")</f>
        <v>XM_007758036.1</v>
      </c>
    </row>
    <row r="474" spans="1:7" x14ac:dyDescent="0.35">
      <c r="A474" t="s">
        <v>632</v>
      </c>
      <c r="B474">
        <v>53.5</v>
      </c>
      <c r="C474">
        <v>53.5</v>
      </c>
      <c r="D474" s="2">
        <v>0.6</v>
      </c>
      <c r="E474" s="3">
        <v>1E-4</v>
      </c>
      <c r="F474">
        <v>32.31</v>
      </c>
      <c r="G474" t="str">
        <f>HYPERLINK("https://www.ncbi.nlm.nih.gov/nucleotide/XM_037300507.1?report=genbank&amp;log$=nucltop&amp;blast_rank=62&amp;RID=0RSN85HB016","XM_037300507.1")</f>
        <v>XM_037300507.1</v>
      </c>
    </row>
    <row r="475" spans="1:7" x14ac:dyDescent="0.35">
      <c r="A475" t="s">
        <v>620</v>
      </c>
      <c r="B475">
        <v>49.3</v>
      </c>
      <c r="C475">
        <v>49.3</v>
      </c>
      <c r="D475" s="2">
        <v>0.8</v>
      </c>
      <c r="E475">
        <v>5.0000000000000001E-3</v>
      </c>
      <c r="F475">
        <v>31.79</v>
      </c>
      <c r="G475" t="str">
        <f>HYPERLINK("https://www.ncbi.nlm.nih.gov/nucleotide/CP055902.1?report=genbank&amp;log$=nucltop&amp;blast_rank=63&amp;RID=0RSN85HB016","CP055902.1")</f>
        <v>CP055902.1</v>
      </c>
    </row>
    <row r="476" spans="1:7" x14ac:dyDescent="0.35">
      <c r="A476" t="s">
        <v>254</v>
      </c>
      <c r="B476">
        <v>58.2</v>
      </c>
      <c r="C476">
        <v>58.2</v>
      </c>
      <c r="D476" s="2">
        <v>0.67</v>
      </c>
      <c r="E476" s="3">
        <v>5.9999999999999997E-7</v>
      </c>
      <c r="F476">
        <v>31.69</v>
      </c>
      <c r="G476" t="str">
        <f>HYPERLINK("https://www.ncbi.nlm.nih.gov/nucleotide/XM_018274774.1?report=genbank&amp;log$=nucltop&amp;blast_rank=64&amp;RID=0RSN85HB016","XM_018274774.1")</f>
        <v>XM_018274774.1</v>
      </c>
    </row>
    <row r="477" spans="1:7" x14ac:dyDescent="0.35">
      <c r="A477" t="s">
        <v>970</v>
      </c>
      <c r="B477">
        <v>55.5</v>
      </c>
      <c r="C477">
        <v>55.5</v>
      </c>
      <c r="D477" s="2">
        <v>0.77</v>
      </c>
      <c r="E477" s="3">
        <v>4.0000000000000003E-5</v>
      </c>
      <c r="F477">
        <v>31.52</v>
      </c>
      <c r="G477" t="str">
        <f>HYPERLINK("https://www.ncbi.nlm.nih.gov/nucleotide/XM_007406079.1?report=genbank&amp;log$=nucltop&amp;blast_rank=65&amp;RID=0RSN85HB016","XM_007406079.1")</f>
        <v>XM_007406079.1</v>
      </c>
    </row>
    <row r="478" spans="1:7" x14ac:dyDescent="0.35">
      <c r="A478" t="s">
        <v>971</v>
      </c>
      <c r="B478">
        <v>50.1</v>
      </c>
      <c r="C478">
        <v>50.1</v>
      </c>
      <c r="D478" s="2">
        <v>0.74</v>
      </c>
      <c r="E478">
        <v>1E-3</v>
      </c>
      <c r="F478">
        <v>31.01</v>
      </c>
      <c r="G478" t="str">
        <f>HYPERLINK("https://www.ncbi.nlm.nih.gov/nucleotide/XM_024483989.1?report=genbank&amp;log$=nucltop&amp;blast_rank=66&amp;RID=0RSN85HB016","XM_024483989.1")</f>
        <v>XM_024483989.1</v>
      </c>
    </row>
    <row r="479" spans="1:7" x14ac:dyDescent="0.35">
      <c r="A479" t="s">
        <v>625</v>
      </c>
      <c r="B479">
        <v>50.1</v>
      </c>
      <c r="C479">
        <v>50.1</v>
      </c>
      <c r="D479" s="2">
        <v>0.8</v>
      </c>
      <c r="E479" s="3">
        <v>6.9999999999999999E-4</v>
      </c>
      <c r="F479">
        <v>30.86</v>
      </c>
      <c r="G479" t="str">
        <f>HYPERLINK("https://www.ncbi.nlm.nih.gov/nucleotide/XM_035492496.1?report=genbank&amp;log$=nucltop&amp;blast_rank=67&amp;RID=0RSN85HB016","XM_035492496.1")</f>
        <v>XM_035492496.1</v>
      </c>
    </row>
    <row r="480" spans="1:7" x14ac:dyDescent="0.35">
      <c r="A480" s="4" t="s">
        <v>972</v>
      </c>
      <c r="B480" s="4">
        <v>51.6</v>
      </c>
      <c r="C480" s="4">
        <v>51.6</v>
      </c>
      <c r="D480" s="5">
        <v>0.56999999999999995</v>
      </c>
      <c r="E480" s="6">
        <v>6.9999999999999994E-5</v>
      </c>
      <c r="F480" s="4">
        <v>30.7</v>
      </c>
      <c r="G480" s="4" t="str">
        <f>HYPERLINK("https://www.ncbi.nlm.nih.gov/nucleotide/XM_013483409.1?report=genbank&amp;log$=nucltop&amp;blast_rank=68&amp;RID=0RSN85HB016","XM_013483409.1")</f>
        <v>XM_013483409.1</v>
      </c>
    </row>
    <row r="481" spans="1:7" x14ac:dyDescent="0.35">
      <c r="A481" t="s">
        <v>973</v>
      </c>
      <c r="B481">
        <v>52.4</v>
      </c>
      <c r="C481">
        <v>52.4</v>
      </c>
      <c r="D481" s="2">
        <v>0.79</v>
      </c>
      <c r="E481" s="3">
        <v>2.9999999999999997E-4</v>
      </c>
      <c r="F481">
        <v>29.76</v>
      </c>
      <c r="G481" t="str">
        <f>HYPERLINK("https://www.ncbi.nlm.nih.gov/nucleotide/XM_029906584.1?report=genbank&amp;log$=nucltop&amp;blast_rank=69&amp;RID=0RSN85HB016","XM_029906584.1")</f>
        <v>XM_029906584.1</v>
      </c>
    </row>
    <row r="482" spans="1:7" x14ac:dyDescent="0.35">
      <c r="A482" t="s">
        <v>628</v>
      </c>
      <c r="B482">
        <v>45.8</v>
      </c>
      <c r="C482">
        <v>45.8</v>
      </c>
      <c r="D482" s="2">
        <v>0.76</v>
      </c>
      <c r="E482">
        <v>0.02</v>
      </c>
      <c r="F482">
        <v>28.05</v>
      </c>
      <c r="G482" t="str">
        <f>HYPERLINK("https://www.ncbi.nlm.nih.gov/nucleotide/XM_013469976.1?report=genbank&amp;log$=nucltop&amp;blast_rank=70&amp;RID=0RSN85HB016","XM_013469976.1")</f>
        <v>XM_013469976.1</v>
      </c>
    </row>
    <row r="483" spans="1:7" x14ac:dyDescent="0.35">
      <c r="A483" s="1" t="s">
        <v>974</v>
      </c>
    </row>
    <row r="484" spans="1:7" x14ac:dyDescent="0.35">
      <c r="A484" s="1" t="s">
        <v>2</v>
      </c>
      <c r="B484" s="1" t="s">
        <v>3</v>
      </c>
      <c r="C484" s="1" t="s">
        <v>4</v>
      </c>
      <c r="D484" s="1" t="s">
        <v>5</v>
      </c>
      <c r="E484" s="1" t="s">
        <v>6</v>
      </c>
      <c r="F484" s="1" t="s">
        <v>7</v>
      </c>
      <c r="G484" s="1" t="s">
        <v>8</v>
      </c>
    </row>
    <row r="485" spans="1:7" x14ac:dyDescent="0.35">
      <c r="A485" t="s">
        <v>37</v>
      </c>
      <c r="B485">
        <v>185</v>
      </c>
      <c r="C485">
        <v>313</v>
      </c>
      <c r="D485" s="2">
        <v>1</v>
      </c>
      <c r="E485" s="3">
        <v>1.9999999999999999E-75</v>
      </c>
      <c r="F485">
        <v>83.81</v>
      </c>
      <c r="G485" t="str">
        <f>HYPERLINK("https://www.ncbi.nlm.nih.gov/nucleotide/LR732085.1?report=genbank&amp;log$=nucltop&amp;blast_rank=1&amp;RID=0RSPSVGS013","LR732085.1")</f>
        <v>LR732085.1</v>
      </c>
    </row>
    <row r="486" spans="1:7" x14ac:dyDescent="0.35">
      <c r="A486" t="s">
        <v>405</v>
      </c>
      <c r="B486">
        <v>77.400000000000006</v>
      </c>
      <c r="C486">
        <v>77.400000000000006</v>
      </c>
      <c r="D486" s="2">
        <v>0.38</v>
      </c>
      <c r="E486" s="3">
        <v>2E-12</v>
      </c>
      <c r="F486">
        <v>52.38</v>
      </c>
      <c r="G486" t="str">
        <f>HYPERLINK("https://www.ncbi.nlm.nih.gov/nucleotide/CP019382.1?report=genbank&amp;log$=nucltop&amp;blast_rank=2&amp;RID=0RSPSVGS013","CP019382.1")</f>
        <v>CP019382.1</v>
      </c>
    </row>
    <row r="487" spans="1:7" x14ac:dyDescent="0.35">
      <c r="A487" s="4" t="s">
        <v>494</v>
      </c>
      <c r="B487" s="4">
        <v>63.9</v>
      </c>
      <c r="C487" s="4">
        <v>63.9</v>
      </c>
      <c r="D487" s="5">
        <v>0.36</v>
      </c>
      <c r="E487" s="6">
        <v>4.9999999999999998E-8</v>
      </c>
      <c r="F487" s="4">
        <v>47.37</v>
      </c>
      <c r="G487" s="4" t="str">
        <f>HYPERLINK("https://www.ncbi.nlm.nih.gov/nucleotide/XM_001835028.2?report=genbank&amp;log$=nucltop&amp;blast_rank=3&amp;RID=0RSPSVGS013","XM_001835028.2")</f>
        <v>XM_001835028.2</v>
      </c>
    </row>
    <row r="488" spans="1:7" x14ac:dyDescent="0.35">
      <c r="A488" t="s">
        <v>382</v>
      </c>
      <c r="B488">
        <v>57.4</v>
      </c>
      <c r="C488">
        <v>57.4</v>
      </c>
      <c r="D488" s="2">
        <v>0.33</v>
      </c>
      <c r="E488" s="3">
        <v>1.0000000000000001E-5</v>
      </c>
      <c r="F488">
        <v>46.38</v>
      </c>
      <c r="G488" t="str">
        <f>HYPERLINK("https://www.ncbi.nlm.nih.gov/nucleotide/CP039884.1?report=genbank&amp;log$=nucltop&amp;blast_rank=4&amp;RID=0RSPSVGS013","CP039884.1")</f>
        <v>CP039884.1</v>
      </c>
    </row>
    <row r="489" spans="1:7" x14ac:dyDescent="0.35">
      <c r="A489" t="s">
        <v>383</v>
      </c>
      <c r="B489">
        <v>57.4</v>
      </c>
      <c r="C489">
        <v>57.4</v>
      </c>
      <c r="D489" s="2">
        <v>0.33</v>
      </c>
      <c r="E489" s="3">
        <v>1.0000000000000001E-5</v>
      </c>
      <c r="F489">
        <v>46.38</v>
      </c>
      <c r="G489" t="str">
        <f>HYPERLINK("https://www.ncbi.nlm.nih.gov/nucleotide/CP015481.1?report=genbank&amp;log$=nucltop&amp;blast_rank=5&amp;RID=0RSPSVGS013","CP015481.1")</f>
        <v>CP015481.1</v>
      </c>
    </row>
    <row r="490" spans="1:7" x14ac:dyDescent="0.35">
      <c r="A490" t="s">
        <v>385</v>
      </c>
      <c r="B490">
        <v>56.6</v>
      </c>
      <c r="C490">
        <v>56.6</v>
      </c>
      <c r="D490" s="2">
        <v>0.32</v>
      </c>
      <c r="E490" s="3">
        <v>2.0000000000000002E-5</v>
      </c>
      <c r="F490">
        <v>46.27</v>
      </c>
      <c r="G490" t="str">
        <f>HYPERLINK("https://www.ncbi.nlm.nih.gov/nucleotide/CP015468.1?report=genbank&amp;log$=nucltop&amp;blast_rank=6&amp;RID=0RSPSVGS013","CP015468.1")</f>
        <v>CP015468.1</v>
      </c>
    </row>
    <row r="491" spans="1:7" x14ac:dyDescent="0.35">
      <c r="A491" t="s">
        <v>497</v>
      </c>
      <c r="B491">
        <v>57</v>
      </c>
      <c r="C491">
        <v>57</v>
      </c>
      <c r="D491" s="2">
        <v>0.38</v>
      </c>
      <c r="E491" s="3">
        <v>7.9999999999999996E-6</v>
      </c>
      <c r="F491">
        <v>42.5</v>
      </c>
      <c r="G491" t="str">
        <f>HYPERLINK("https://www.ncbi.nlm.nih.gov/nucleotide/XM_003195720.1?report=genbank&amp;log$=nucltop&amp;blast_rank=7&amp;RID=0RSPSVGS013","XM_003195720.1")</f>
        <v>XM_003195720.1</v>
      </c>
    </row>
    <row r="492" spans="1:7" x14ac:dyDescent="0.35">
      <c r="A492" t="s">
        <v>500</v>
      </c>
      <c r="B492">
        <v>48.1</v>
      </c>
      <c r="C492">
        <v>48.1</v>
      </c>
      <c r="D492" s="2">
        <v>0.33</v>
      </c>
      <c r="E492">
        <v>1.6E-2</v>
      </c>
      <c r="F492">
        <v>41.43</v>
      </c>
      <c r="G492" t="str">
        <f>HYPERLINK("https://www.ncbi.nlm.nih.gov/nucleotide/CP025766.1?report=genbank&amp;log$=nucltop&amp;blast_rank=8&amp;RID=0RSPSVGS013","CP025766.1")</f>
        <v>CP025766.1</v>
      </c>
    </row>
    <row r="493" spans="1:7" x14ac:dyDescent="0.35">
      <c r="A493" t="s">
        <v>501</v>
      </c>
      <c r="B493">
        <v>48.1</v>
      </c>
      <c r="C493">
        <v>48.1</v>
      </c>
      <c r="D493" s="2">
        <v>0.33</v>
      </c>
      <c r="E493">
        <v>1.6E-2</v>
      </c>
      <c r="F493">
        <v>41.43</v>
      </c>
      <c r="G493" t="str">
        <f>HYPERLINK("https://www.ncbi.nlm.nih.gov/nucleotide/AE017349.1?report=genbank&amp;log$=nucltop&amp;blast_rank=9&amp;RID=0RSPSVGS013","AE017349.1")</f>
        <v>AE017349.1</v>
      </c>
    </row>
    <row r="494" spans="1:7" x14ac:dyDescent="0.35">
      <c r="A494" t="s">
        <v>502</v>
      </c>
      <c r="B494">
        <v>47.8</v>
      </c>
      <c r="C494">
        <v>47.8</v>
      </c>
      <c r="D494" s="2">
        <v>0.33</v>
      </c>
      <c r="E494">
        <v>1.7999999999999999E-2</v>
      </c>
      <c r="F494">
        <v>41.43</v>
      </c>
      <c r="G494" t="str">
        <f>HYPERLINK("https://www.ncbi.nlm.nih.gov/nucleotide/CP000293.1?report=genbank&amp;log$=nucltop&amp;blast_rank=10&amp;RID=0RSPSVGS013","CP000293.1")</f>
        <v>CP000293.1</v>
      </c>
    </row>
    <row r="495" spans="1:7" x14ac:dyDescent="0.35">
      <c r="A495" t="s">
        <v>495</v>
      </c>
      <c r="B495">
        <v>52.4</v>
      </c>
      <c r="C495">
        <v>52.4</v>
      </c>
      <c r="D495" s="2">
        <v>0.38</v>
      </c>
      <c r="E495" s="3">
        <v>2.9999999999999997E-4</v>
      </c>
      <c r="F495">
        <v>40.51</v>
      </c>
      <c r="G495" t="str">
        <f>HYPERLINK("https://www.ncbi.nlm.nih.gov/nucleotide/XM_768845.1?report=genbank&amp;log$=nucltop&amp;blast_rank=11&amp;RID=0RSPSVGS013","XM_768845.1")</f>
        <v>XM_768845.1</v>
      </c>
    </row>
    <row r="496" spans="1:7" x14ac:dyDescent="0.35">
      <c r="A496" s="4" t="s">
        <v>496</v>
      </c>
      <c r="B496" s="4">
        <v>52</v>
      </c>
      <c r="C496" s="4">
        <v>52</v>
      </c>
      <c r="D496" s="5">
        <v>0.38</v>
      </c>
      <c r="E496" s="6">
        <v>4.0000000000000002E-4</v>
      </c>
      <c r="F496" s="4">
        <v>40.51</v>
      </c>
      <c r="G496" s="4" t="str">
        <f>HYPERLINK("https://www.ncbi.nlm.nih.gov/nucleotide/XM_024657893.1?report=genbank&amp;log$=nucltop&amp;blast_rank=12&amp;RID=0RSPSVGS013","XM_024657893.1")</f>
        <v>XM_024657893.1</v>
      </c>
    </row>
    <row r="497" spans="1:7" x14ac:dyDescent="0.35">
      <c r="A497" s="4" t="s">
        <v>526</v>
      </c>
      <c r="B497" s="4">
        <v>54.3</v>
      </c>
      <c r="C497" s="4">
        <v>54.3</v>
      </c>
      <c r="D497" s="5">
        <v>0.38</v>
      </c>
      <c r="E497" s="6">
        <v>5.0000000000000002E-5</v>
      </c>
      <c r="F497" s="4">
        <v>40</v>
      </c>
      <c r="G497" s="4" t="str">
        <f>HYPERLINK("https://www.ncbi.nlm.nih.gov/nucleotide/XM_019194061.1?report=genbank&amp;log$=nucltop&amp;blast_rank=13&amp;RID=0RSPSVGS013","XM_019194061.1")</f>
        <v>XM_019194061.1</v>
      </c>
    </row>
    <row r="498" spans="1:7" x14ac:dyDescent="0.35">
      <c r="A498" t="s">
        <v>530</v>
      </c>
      <c r="B498">
        <v>48.1</v>
      </c>
      <c r="C498">
        <v>48.1</v>
      </c>
      <c r="D498" s="2">
        <v>0.37</v>
      </c>
      <c r="E498">
        <v>8.0000000000000002E-3</v>
      </c>
      <c r="F498">
        <v>39.74</v>
      </c>
      <c r="G498" t="str">
        <f>HYPERLINK("https://www.ncbi.nlm.nih.gov/nucleotide/XM_025504909.1?report=genbank&amp;log$=nucltop&amp;blast_rank=14&amp;RID=0RSPSVGS013","XM_025504909.1")</f>
        <v>XM_025504909.1</v>
      </c>
    </row>
    <row r="499" spans="1:7" x14ac:dyDescent="0.35">
      <c r="A499" s="4" t="s">
        <v>499</v>
      </c>
      <c r="B499" s="4">
        <v>51.6</v>
      </c>
      <c r="C499" s="4">
        <v>51.6</v>
      </c>
      <c r="D499" s="5">
        <v>0.38</v>
      </c>
      <c r="E499" s="6">
        <v>8.0000000000000004E-4</v>
      </c>
      <c r="F499" s="4">
        <v>39.24</v>
      </c>
      <c r="G499" s="4" t="str">
        <f>HYPERLINK("https://www.ncbi.nlm.nih.gov/nucleotide/XM_012196313.1?report=genbank&amp;log$=nucltop&amp;blast_rank=15&amp;RID=0RSPSVGS013","XM_012196313.1")</f>
        <v>XM_012196313.1</v>
      </c>
    </row>
    <row r="500" spans="1:7" x14ac:dyDescent="0.35">
      <c r="A500" t="s">
        <v>531</v>
      </c>
      <c r="B500">
        <v>102</v>
      </c>
      <c r="C500">
        <v>102</v>
      </c>
      <c r="D500" s="2">
        <v>0.82</v>
      </c>
      <c r="E500" s="3">
        <v>7.9999999999999997E-23</v>
      </c>
      <c r="F500">
        <v>37.93</v>
      </c>
      <c r="G500" t="str">
        <f>HYPERLINK("https://www.ncbi.nlm.nih.gov/nucleotide/XM_003026747.1?report=genbank&amp;log$=nucltop&amp;blast_rank=16&amp;RID=0RSPSVGS013","XM_003026747.1")</f>
        <v>XM_003026747.1</v>
      </c>
    </row>
    <row r="501" spans="1:7" x14ac:dyDescent="0.35">
      <c r="A501" s="4" t="s">
        <v>542</v>
      </c>
      <c r="B501" s="4">
        <v>94.4</v>
      </c>
      <c r="C501" s="4">
        <v>94.4</v>
      </c>
      <c r="D501" s="5">
        <v>0.86</v>
      </c>
      <c r="E501" s="6">
        <v>2.9999999999999999E-19</v>
      </c>
      <c r="F501" s="4">
        <v>37.299999999999997</v>
      </c>
      <c r="G501" s="4" t="str">
        <f>HYPERLINK("https://www.ncbi.nlm.nih.gov/nucleotide/XM_001889471.1?report=genbank&amp;log$=nucltop&amp;blast_rank=17&amp;RID=0RSPSVGS013","XM_001889471.1")</f>
        <v>XM_001889471.1</v>
      </c>
    </row>
    <row r="502" spans="1:7" x14ac:dyDescent="0.35">
      <c r="A502" t="s">
        <v>529</v>
      </c>
      <c r="B502">
        <v>50.8</v>
      </c>
      <c r="C502">
        <v>50.8</v>
      </c>
      <c r="D502" s="2">
        <v>0.38</v>
      </c>
      <c r="E502">
        <v>1E-3</v>
      </c>
      <c r="F502">
        <v>36.71</v>
      </c>
      <c r="G502" t="str">
        <f>HYPERLINK("https://www.ncbi.nlm.nih.gov/nucleotide/XM_028618410.1?report=genbank&amp;log$=nucltop&amp;blast_rank=18&amp;RID=0RSPSVGS013","XM_028618410.1")</f>
        <v>XM_028618410.1</v>
      </c>
    </row>
    <row r="503" spans="1:7" x14ac:dyDescent="0.35">
      <c r="A503" t="s">
        <v>516</v>
      </c>
      <c r="B503">
        <v>48.1</v>
      </c>
      <c r="C503">
        <v>48.1</v>
      </c>
      <c r="D503" s="2">
        <v>0.38</v>
      </c>
      <c r="E503">
        <v>8.9999999999999993E-3</v>
      </c>
      <c r="F503">
        <v>36.71</v>
      </c>
      <c r="G503" t="str">
        <f>HYPERLINK("https://www.ncbi.nlm.nih.gov/nucleotide/XM_007001803.1?report=genbank&amp;log$=nucltop&amp;blast_rank=19&amp;RID=0RSPSVGS013","XM_007001803.1")</f>
        <v>XM_007001803.1</v>
      </c>
    </row>
    <row r="504" spans="1:7" x14ac:dyDescent="0.35">
      <c r="A504" t="s">
        <v>515</v>
      </c>
      <c r="B504">
        <v>48.1</v>
      </c>
      <c r="C504">
        <v>48.1</v>
      </c>
      <c r="D504" s="2">
        <v>0.38</v>
      </c>
      <c r="E504">
        <v>0.01</v>
      </c>
      <c r="F504">
        <v>36.71</v>
      </c>
      <c r="G504" t="str">
        <f>HYPERLINK("https://www.ncbi.nlm.nih.gov/nucleotide/XM_032005190.1?report=genbank&amp;log$=nucltop&amp;blast_rank=20&amp;RID=0RSPSVGS013","XM_032005190.1")</f>
        <v>XM_032005190.1</v>
      </c>
    </row>
    <row r="505" spans="1:7" x14ac:dyDescent="0.35">
      <c r="A505" t="s">
        <v>109</v>
      </c>
      <c r="B505">
        <v>83.2</v>
      </c>
      <c r="C505">
        <v>83.2</v>
      </c>
      <c r="D505" s="2">
        <v>0.88</v>
      </c>
      <c r="E505" s="3">
        <v>2.9999999999999998E-15</v>
      </c>
      <c r="F505">
        <v>36.450000000000003</v>
      </c>
      <c r="G505" t="str">
        <f>HYPERLINK("https://www.ncbi.nlm.nih.gov/nucleotide/XM_007871865.1?report=genbank&amp;log$=nucltop&amp;blast_rank=21&amp;RID=0RSPSVGS013","XM_007871865.1")</f>
        <v>XM_007871865.1</v>
      </c>
    </row>
    <row r="506" spans="1:7" x14ac:dyDescent="0.35">
      <c r="A506" s="4" t="s">
        <v>527</v>
      </c>
      <c r="B506" s="4">
        <v>90.1</v>
      </c>
      <c r="C506" s="4">
        <v>90.1</v>
      </c>
      <c r="D506" s="5">
        <v>0.88</v>
      </c>
      <c r="E506" s="6">
        <v>2.9999999999999998E-18</v>
      </c>
      <c r="F506" s="4">
        <v>36.270000000000003</v>
      </c>
      <c r="G506" s="4" t="str">
        <f>HYPERLINK("https://www.ncbi.nlm.nih.gov/nucleotide/XM_037362815.1?report=genbank&amp;log$=nucltop&amp;blast_rank=22&amp;RID=0RSPSVGS013","XM_037362815.1")</f>
        <v>XM_037362815.1</v>
      </c>
    </row>
    <row r="507" spans="1:7" x14ac:dyDescent="0.35">
      <c r="A507" t="s">
        <v>549</v>
      </c>
      <c r="B507">
        <v>90.1</v>
      </c>
      <c r="C507">
        <v>90.1</v>
      </c>
      <c r="D507" s="2">
        <v>0.9</v>
      </c>
      <c r="E507" s="3">
        <v>4.0000000000000003E-18</v>
      </c>
      <c r="F507">
        <v>35.96</v>
      </c>
      <c r="G507" t="str">
        <f>HYPERLINK("https://www.ncbi.nlm.nih.gov/nucleotide/XM_007363302.1?report=genbank&amp;log$=nucltop&amp;blast_rank=23&amp;RID=0RSPSVGS013","XM_007363302.1")</f>
        <v>XM_007363302.1</v>
      </c>
    </row>
    <row r="508" spans="1:7" x14ac:dyDescent="0.35">
      <c r="A508" t="s">
        <v>533</v>
      </c>
      <c r="B508">
        <v>47.8</v>
      </c>
      <c r="C508">
        <v>47.8</v>
      </c>
      <c r="D508" s="2">
        <v>0.37</v>
      </c>
      <c r="E508">
        <v>1.0999999999999999E-2</v>
      </c>
      <c r="F508">
        <v>35.9</v>
      </c>
      <c r="G508" t="str">
        <f>HYPERLINK("https://www.ncbi.nlm.nih.gov/nucleotide/XM_031996610.1?report=genbank&amp;log$=nucltop&amp;blast_rank=24&amp;RID=0RSPSVGS013","XM_031996610.1")</f>
        <v>XM_031996610.1</v>
      </c>
    </row>
    <row r="509" spans="1:7" x14ac:dyDescent="0.35">
      <c r="A509" t="s">
        <v>326</v>
      </c>
      <c r="B509">
        <v>47</v>
      </c>
      <c r="C509">
        <v>47</v>
      </c>
      <c r="D509" s="2">
        <v>0.37</v>
      </c>
      <c r="E509">
        <v>2.3E-2</v>
      </c>
      <c r="F509">
        <v>35.9</v>
      </c>
      <c r="G509" t="str">
        <f>HYPERLINK("https://www.ncbi.nlm.nih.gov/nucleotide/XM_014715723.1?report=genbank&amp;log$=nucltop&amp;blast_rank=25&amp;RID=0RSPSVGS013","XM_014715723.1")</f>
        <v>XM_014715723.1</v>
      </c>
    </row>
    <row r="510" spans="1:7" x14ac:dyDescent="0.35">
      <c r="A510" s="4" t="s">
        <v>535</v>
      </c>
      <c r="B510" s="4">
        <v>46.6</v>
      </c>
      <c r="C510" s="4">
        <v>46.6</v>
      </c>
      <c r="D510" s="5">
        <v>0.35</v>
      </c>
      <c r="E510" s="4">
        <v>2.1999999999999999E-2</v>
      </c>
      <c r="F510" s="4">
        <v>35.619999999999997</v>
      </c>
      <c r="G510" s="4" t="str">
        <f>HYPERLINK("https://www.ncbi.nlm.nih.gov/nucleotide/XM_014690294.1?report=genbank&amp;log$=nucltop&amp;blast_rank=26&amp;RID=0RSPSVGS013","XM_014690294.1")</f>
        <v>XM_014690294.1</v>
      </c>
    </row>
    <row r="511" spans="1:7" x14ac:dyDescent="0.35">
      <c r="A511" t="s">
        <v>536</v>
      </c>
      <c r="B511">
        <v>47</v>
      </c>
      <c r="C511">
        <v>47</v>
      </c>
      <c r="D511" s="2">
        <v>0.35</v>
      </c>
      <c r="E511">
        <v>3.4000000000000002E-2</v>
      </c>
      <c r="F511">
        <v>35.619999999999997</v>
      </c>
      <c r="G511" t="str">
        <f>HYPERLINK("https://www.ncbi.nlm.nih.gov/nucleotide/CP058935.1?report=genbank&amp;log$=nucltop&amp;blast_rank=27&amp;RID=0RSPSVGS013","CP058935.1")</f>
        <v>CP058935.1</v>
      </c>
    </row>
    <row r="512" spans="1:7" x14ac:dyDescent="0.35">
      <c r="A512" t="s">
        <v>539</v>
      </c>
      <c r="B512">
        <v>46.2</v>
      </c>
      <c r="C512">
        <v>46.2</v>
      </c>
      <c r="D512" s="2">
        <v>0.35</v>
      </c>
      <c r="E512">
        <v>3.9E-2</v>
      </c>
      <c r="F512">
        <v>35.619999999999997</v>
      </c>
      <c r="G512" t="str">
        <f>HYPERLINK("https://www.ncbi.nlm.nih.gov/nucleotide/XM_007820685.2?report=genbank&amp;log$=nucltop&amp;blast_rank=28&amp;RID=0RSPSVGS013","XM_007820685.2")</f>
        <v>XM_007820685.2</v>
      </c>
    </row>
    <row r="513" spans="1:7" x14ac:dyDescent="0.35">
      <c r="A513" t="s">
        <v>544</v>
      </c>
      <c r="B513">
        <v>78.599999999999994</v>
      </c>
      <c r="C513">
        <v>78.599999999999994</v>
      </c>
      <c r="D513" s="2">
        <v>0.83</v>
      </c>
      <c r="E513" s="3">
        <v>2.0000000000000001E-13</v>
      </c>
      <c r="F513">
        <v>35.6</v>
      </c>
      <c r="G513" t="str">
        <f>HYPERLINK("https://www.ncbi.nlm.nih.gov/nucleotide/XM_007387247.1?report=genbank&amp;log$=nucltop&amp;blast_rank=29&amp;RID=0RSPSVGS013","XM_007387247.1")</f>
        <v>XM_007387247.1</v>
      </c>
    </row>
    <row r="514" spans="1:7" x14ac:dyDescent="0.35">
      <c r="A514" t="s">
        <v>550</v>
      </c>
      <c r="B514">
        <v>105</v>
      </c>
      <c r="C514">
        <v>105</v>
      </c>
      <c r="D514" s="2">
        <v>0.98</v>
      </c>
      <c r="E514" s="3">
        <v>9.9999999999999996E-24</v>
      </c>
      <c r="F514">
        <v>35.450000000000003</v>
      </c>
      <c r="G514" t="str">
        <f>HYPERLINK("https://www.ncbi.nlm.nih.gov/nucleotide/XM_024488823.1?report=genbank&amp;log$=nucltop&amp;blast_rank=30&amp;RID=0RSPSVGS013","XM_024488823.1")</f>
        <v>XM_024488823.1</v>
      </c>
    </row>
    <row r="515" spans="1:7" x14ac:dyDescent="0.35">
      <c r="A515" t="s">
        <v>543</v>
      </c>
      <c r="B515">
        <v>84</v>
      </c>
      <c r="C515">
        <v>84</v>
      </c>
      <c r="D515" s="2">
        <v>0.83</v>
      </c>
      <c r="E515" s="3">
        <v>7.9999999999999998E-16</v>
      </c>
      <c r="F515">
        <v>34.86</v>
      </c>
      <c r="G515" t="str">
        <f>HYPERLINK("https://www.ncbi.nlm.nih.gov/nucleotide/XM_036771613.1?report=genbank&amp;log$=nucltop&amp;blast_rank=31&amp;RID=0RSPSVGS013","XM_036771613.1")</f>
        <v>XM_036771613.1</v>
      </c>
    </row>
    <row r="516" spans="1:7" x14ac:dyDescent="0.35">
      <c r="A516" t="s">
        <v>548</v>
      </c>
      <c r="B516">
        <v>81.3</v>
      </c>
      <c r="C516">
        <v>81.3</v>
      </c>
      <c r="D516" s="2">
        <v>0.9</v>
      </c>
      <c r="E516" s="3">
        <v>5.9999999999999997E-15</v>
      </c>
      <c r="F516">
        <v>34.83</v>
      </c>
      <c r="G516" t="str">
        <f>HYPERLINK("https://www.ncbi.nlm.nih.gov/nucleotide/LR724312.1?report=genbank&amp;log$=nucltop&amp;blast_rank=32&amp;RID=0RSPSVGS013","LR724312.1")</f>
        <v>LR724312.1</v>
      </c>
    </row>
    <row r="517" spans="1:7" x14ac:dyDescent="0.35">
      <c r="A517" t="s">
        <v>120</v>
      </c>
      <c r="B517">
        <v>97.8</v>
      </c>
      <c r="C517">
        <v>97.8</v>
      </c>
      <c r="D517" s="2">
        <v>1</v>
      </c>
      <c r="E517" s="3">
        <v>4.9999999999999997E-21</v>
      </c>
      <c r="F517">
        <v>34.549999999999997</v>
      </c>
      <c r="G517" t="str">
        <f>HYPERLINK("https://www.ncbi.nlm.nih.gov/nucleotide/XM_012328251.1?report=genbank&amp;log$=nucltop&amp;blast_rank=33&amp;RID=0RSPSVGS013","XM_012328251.1")</f>
        <v>XM_012328251.1</v>
      </c>
    </row>
    <row r="518" spans="1:7" x14ac:dyDescent="0.35">
      <c r="A518" t="s">
        <v>556</v>
      </c>
      <c r="B518">
        <v>96.7</v>
      </c>
      <c r="C518">
        <v>96.7</v>
      </c>
      <c r="D518" s="2">
        <v>0.88</v>
      </c>
      <c r="E518" s="3">
        <v>2E-19</v>
      </c>
      <c r="F518">
        <v>34.270000000000003</v>
      </c>
      <c r="G518" t="str">
        <f>HYPERLINK("https://www.ncbi.nlm.nih.gov/nucleotide/XM_007323234.1?report=genbank&amp;log$=nucltop&amp;blast_rank=34&amp;RID=0RSPSVGS013","XM_007323234.1")</f>
        <v>XM_007323234.1</v>
      </c>
    </row>
    <row r="519" spans="1:7" x14ac:dyDescent="0.35">
      <c r="A519" t="s">
        <v>204</v>
      </c>
      <c r="B519">
        <v>91.7</v>
      </c>
      <c r="C519">
        <v>91.7</v>
      </c>
      <c r="D519" s="2">
        <v>1</v>
      </c>
      <c r="E519" s="3">
        <v>2.0000000000000001E-18</v>
      </c>
      <c r="F519">
        <v>33.630000000000003</v>
      </c>
      <c r="G519" t="str">
        <f>HYPERLINK("https://www.ncbi.nlm.nih.gov/nucleotide/XM_008043238.1?report=genbank&amp;log$=nucltop&amp;blast_rank=35&amp;RID=0RSPSVGS013","XM_008043238.1")</f>
        <v>XM_008043238.1</v>
      </c>
    </row>
    <row r="520" spans="1:7" x14ac:dyDescent="0.35">
      <c r="A520" t="s">
        <v>553</v>
      </c>
      <c r="B520">
        <v>85.1</v>
      </c>
      <c r="C520">
        <v>85.1</v>
      </c>
      <c r="D520" s="2">
        <v>1</v>
      </c>
      <c r="E520" s="3">
        <v>3.9999999999999999E-16</v>
      </c>
      <c r="F520">
        <v>33.619999999999997</v>
      </c>
      <c r="G520" t="str">
        <f>HYPERLINK("https://www.ncbi.nlm.nih.gov/nucleotide/XM_027759404.1?report=genbank&amp;log$=nucltop&amp;blast_rank=36&amp;RID=0RSPSVGS013","XM_027759404.1")</f>
        <v>XM_027759404.1</v>
      </c>
    </row>
    <row r="521" spans="1:7" x14ac:dyDescent="0.35">
      <c r="A521" t="s">
        <v>534</v>
      </c>
      <c r="B521">
        <v>85.9</v>
      </c>
      <c r="C521">
        <v>85.9</v>
      </c>
      <c r="D521" s="2">
        <v>0.88</v>
      </c>
      <c r="E521" s="3">
        <v>2E-16</v>
      </c>
      <c r="F521">
        <v>33.33</v>
      </c>
      <c r="G521" t="str">
        <f>HYPERLINK("https://www.ncbi.nlm.nih.gov/nucleotide/XM_006456006.1?report=genbank&amp;log$=nucltop&amp;blast_rank=37&amp;RID=0RSPSVGS013","XM_006456006.1")</f>
        <v>XM_006456006.1</v>
      </c>
    </row>
    <row r="522" spans="1:7" x14ac:dyDescent="0.35">
      <c r="A522" t="s">
        <v>541</v>
      </c>
      <c r="B522">
        <v>84.3</v>
      </c>
      <c r="C522">
        <v>84.3</v>
      </c>
      <c r="D522" s="2">
        <v>0.88</v>
      </c>
      <c r="E522" s="3">
        <v>5E-15</v>
      </c>
      <c r="F522">
        <v>33.33</v>
      </c>
      <c r="G522" t="str">
        <f>HYPERLINK("https://www.ncbi.nlm.nih.gov/nucleotide/XM_007331837.1?report=genbank&amp;log$=nucltop&amp;blast_rank=38&amp;RID=0RSPSVGS013","XM_007331837.1")</f>
        <v>XM_007331837.1</v>
      </c>
    </row>
    <row r="523" spans="1:7" x14ac:dyDescent="0.35">
      <c r="A523" t="s">
        <v>552</v>
      </c>
      <c r="B523">
        <v>80.099999999999994</v>
      </c>
      <c r="C523">
        <v>80.099999999999994</v>
      </c>
      <c r="D523" s="2">
        <v>0.83</v>
      </c>
      <c r="E523" s="3">
        <v>8E-14</v>
      </c>
      <c r="F523">
        <v>33.33</v>
      </c>
      <c r="G523" t="str">
        <f>HYPERLINK("https://www.ncbi.nlm.nih.gov/nucleotide/XM_007307010.1?report=genbank&amp;log$=nucltop&amp;blast_rank=39&amp;RID=0RSPSVGS013","XM_007307010.1")</f>
        <v>XM_007307010.1</v>
      </c>
    </row>
    <row r="524" spans="1:7" x14ac:dyDescent="0.35">
      <c r="A524" t="s">
        <v>558</v>
      </c>
      <c r="B524">
        <v>81.3</v>
      </c>
      <c r="C524">
        <v>81.3</v>
      </c>
      <c r="D524" s="2">
        <v>0.88</v>
      </c>
      <c r="E524" s="3">
        <v>8.0000000000000006E-15</v>
      </c>
      <c r="F524">
        <v>33.17</v>
      </c>
      <c r="G524" t="str">
        <f>HYPERLINK("https://www.ncbi.nlm.nih.gov/nucleotide/XM_007261781.1?report=genbank&amp;log$=nucltop&amp;blast_rank=40&amp;RID=0RSPSVGS013","XM_007261781.1")</f>
        <v>XM_007261781.1</v>
      </c>
    </row>
    <row r="525" spans="1:7" x14ac:dyDescent="0.35">
      <c r="A525" t="s">
        <v>555</v>
      </c>
      <c r="B525">
        <v>87</v>
      </c>
      <c r="C525">
        <v>87</v>
      </c>
      <c r="D525" s="2">
        <v>0.88</v>
      </c>
      <c r="E525" s="3">
        <v>2.9999999999999999E-16</v>
      </c>
      <c r="F525">
        <v>32.380000000000003</v>
      </c>
      <c r="G525" t="str">
        <f>HYPERLINK("https://www.ncbi.nlm.nih.gov/nucleotide/XM_009554598.1?report=genbank&amp;log$=nucltop&amp;blast_rank=41&amp;RID=0RSPSVGS013","XM_009554598.1")</f>
        <v>XM_009554598.1</v>
      </c>
    </row>
    <row r="526" spans="1:7" x14ac:dyDescent="0.35">
      <c r="A526" t="s">
        <v>126</v>
      </c>
      <c r="B526">
        <v>69.7</v>
      </c>
      <c r="C526">
        <v>69.7</v>
      </c>
      <c r="D526" s="2">
        <v>0.88</v>
      </c>
      <c r="E526" s="3">
        <v>2.0000000000000001E-10</v>
      </c>
      <c r="F526">
        <v>31.94</v>
      </c>
      <c r="G526" t="str">
        <f>HYPERLINK("https://www.ncbi.nlm.nih.gov/nucleotide/XM_007776238.1?report=genbank&amp;log$=nucltop&amp;blast_rank=42&amp;RID=0RSPSVGS013","XM_007776238.1")</f>
        <v>XM_007776238.1</v>
      </c>
    </row>
    <row r="527" spans="1:7" x14ac:dyDescent="0.35">
      <c r="A527" t="s">
        <v>561</v>
      </c>
      <c r="B527">
        <v>70.5</v>
      </c>
      <c r="C527">
        <v>70.5</v>
      </c>
      <c r="D527" s="2">
        <v>1</v>
      </c>
      <c r="E527" s="3">
        <v>2.0000000000000001E-10</v>
      </c>
      <c r="F527">
        <v>29.87</v>
      </c>
      <c r="G527" t="str">
        <f>HYPERLINK("https://www.ncbi.nlm.nih.gov/nucleotide/XM_007397925.1?report=genbank&amp;log$=nucltop&amp;blast_rank=43&amp;RID=0RSPSVGS013","XM_007397925.1")</f>
        <v>XM_007397925.1</v>
      </c>
    </row>
    <row r="528" spans="1:7" x14ac:dyDescent="0.35">
      <c r="A528" t="s">
        <v>554</v>
      </c>
      <c r="B528">
        <v>54.3</v>
      </c>
      <c r="C528">
        <v>54.3</v>
      </c>
      <c r="D528" s="2">
        <v>0.81</v>
      </c>
      <c r="E528" s="3">
        <v>5.0000000000000002E-5</v>
      </c>
      <c r="F528">
        <v>28.16</v>
      </c>
      <c r="G528" t="str">
        <f>HYPERLINK("https://www.ncbi.nlm.nih.gov/nucleotide/XM_039054122.1?report=genbank&amp;log$=nucltop&amp;blast_rank=44&amp;RID=0RSPSVGS013","XM_039054122.1")</f>
        <v>XM_039054122.1</v>
      </c>
    </row>
    <row r="529" spans="1:7" x14ac:dyDescent="0.35">
      <c r="A529" t="s">
        <v>538</v>
      </c>
      <c r="B529">
        <v>47.8</v>
      </c>
      <c r="C529">
        <v>47.8</v>
      </c>
      <c r="D529" s="2">
        <v>0.82</v>
      </c>
      <c r="E529">
        <v>1.2E-2</v>
      </c>
      <c r="F529">
        <v>26.64</v>
      </c>
      <c r="G529" t="str">
        <f>HYPERLINK("https://www.ncbi.nlm.nih.gov/nucleotide/XM_003338747.2?report=genbank&amp;log$=nucltop&amp;blast_rank=45&amp;RID=0RSPSVGS013","XM_003338747.2")</f>
        <v>XM_003338747.2</v>
      </c>
    </row>
    <row r="530" spans="1:7" x14ac:dyDescent="0.35">
      <c r="A530" s="1" t="s">
        <v>975</v>
      </c>
    </row>
    <row r="531" spans="1:7" x14ac:dyDescent="0.35">
      <c r="A531" s="1" t="s">
        <v>2</v>
      </c>
      <c r="B531" s="1" t="s">
        <v>3</v>
      </c>
      <c r="C531" s="1" t="s">
        <v>4</v>
      </c>
      <c r="D531" s="1" t="s">
        <v>5</v>
      </c>
      <c r="E531" s="1" t="s">
        <v>6</v>
      </c>
      <c r="F531" s="1" t="s">
        <v>7</v>
      </c>
      <c r="G531" s="1" t="s">
        <v>8</v>
      </c>
    </row>
    <row r="532" spans="1:7" x14ac:dyDescent="0.35">
      <c r="A532" t="s">
        <v>37</v>
      </c>
      <c r="B532">
        <v>855</v>
      </c>
      <c r="C532">
        <v>939</v>
      </c>
      <c r="D532" s="2">
        <v>0.99</v>
      </c>
      <c r="E532">
        <v>0</v>
      </c>
      <c r="F532">
        <v>84.19</v>
      </c>
      <c r="G532" t="str">
        <f>HYPERLINK("https://www.ncbi.nlm.nih.gov/nucleotide/LR732085.1?report=genbank&amp;log$=nucltop&amp;blast_rank=1&amp;RID=0RSS9YNU013","LR732085.1")</f>
        <v>LR732085.1</v>
      </c>
    </row>
    <row r="533" spans="1:7" x14ac:dyDescent="0.35">
      <c r="A533" t="s">
        <v>29</v>
      </c>
      <c r="B533">
        <v>390</v>
      </c>
      <c r="C533">
        <v>390</v>
      </c>
      <c r="D533" s="2">
        <v>0.71</v>
      </c>
      <c r="E533" s="3">
        <v>5.9999999999999998E-125</v>
      </c>
      <c r="F533">
        <v>48.6</v>
      </c>
      <c r="G533" t="str">
        <f>HYPERLINK("https://www.ncbi.nlm.nih.gov/nucleotide/XM_036779059.1?report=genbank&amp;log$=nucltop&amp;blast_rank=2&amp;RID=0RSS9YNU013","XM_036779059.1")</f>
        <v>XM_036779059.1</v>
      </c>
    </row>
    <row r="534" spans="1:7" x14ac:dyDescent="0.35">
      <c r="A534" t="s">
        <v>9</v>
      </c>
      <c r="B534">
        <v>147</v>
      </c>
      <c r="C534">
        <v>262</v>
      </c>
      <c r="D534" s="2">
        <v>0.51</v>
      </c>
      <c r="E534" s="3">
        <v>4.0000000000000001E-53</v>
      </c>
      <c r="F534">
        <v>47.47</v>
      </c>
      <c r="G534" t="str">
        <f>HYPERLINK("https://www.ncbi.nlm.nih.gov/nucleotide/LR732079.1?report=genbank&amp;log$=nucltop&amp;blast_rank=3&amp;RID=0RSS9YNU013","LR732079.1")</f>
        <v>LR732079.1</v>
      </c>
    </row>
    <row r="535" spans="1:7" x14ac:dyDescent="0.35">
      <c r="A535" t="s">
        <v>24</v>
      </c>
      <c r="B535">
        <v>394</v>
      </c>
      <c r="C535">
        <v>394</v>
      </c>
      <c r="D535" s="2">
        <v>0.74</v>
      </c>
      <c r="E535" s="3">
        <v>9.9999999999999995E-127</v>
      </c>
      <c r="F535">
        <v>47.31</v>
      </c>
      <c r="G535" t="str">
        <f>HYPERLINK("https://www.ncbi.nlm.nih.gov/nucleotide/XM_037359093.1?report=genbank&amp;log$=nucltop&amp;blast_rank=4&amp;RID=0RSS9YNU013","XM_037359093.1")</f>
        <v>XM_037359093.1</v>
      </c>
    </row>
    <row r="536" spans="1:7" x14ac:dyDescent="0.35">
      <c r="A536" t="s">
        <v>34</v>
      </c>
      <c r="B536">
        <v>407</v>
      </c>
      <c r="C536">
        <v>407</v>
      </c>
      <c r="D536" s="2">
        <v>0.8</v>
      </c>
      <c r="E536" s="3">
        <v>2E-131</v>
      </c>
      <c r="F536">
        <v>46.57</v>
      </c>
      <c r="G536" t="str">
        <f>HYPERLINK("https://www.ncbi.nlm.nih.gov/nucleotide/XM_001836368.2?report=genbank&amp;log$=nucltop&amp;blast_rank=5&amp;RID=0RSS9YNU013","XM_001836368.2")</f>
        <v>XM_001836368.2</v>
      </c>
    </row>
    <row r="537" spans="1:7" x14ac:dyDescent="0.35">
      <c r="A537" t="s">
        <v>21</v>
      </c>
      <c r="B537">
        <v>369</v>
      </c>
      <c r="C537">
        <v>369</v>
      </c>
      <c r="D537" s="2">
        <v>0.72</v>
      </c>
      <c r="E537" s="3">
        <v>4E-116</v>
      </c>
      <c r="F537">
        <v>46.3</v>
      </c>
      <c r="G537" t="str">
        <f>HYPERLINK("https://www.ncbi.nlm.nih.gov/nucleotide/XM_009546985.1?report=genbank&amp;log$=nucltop&amp;blast_rank=6&amp;RID=0RSS9YNU013","XM_009546985.1")</f>
        <v>XM_009546985.1</v>
      </c>
    </row>
    <row r="538" spans="1:7" x14ac:dyDescent="0.35">
      <c r="A538" t="s">
        <v>25</v>
      </c>
      <c r="B538">
        <v>372</v>
      </c>
      <c r="C538">
        <v>372</v>
      </c>
      <c r="D538" s="2">
        <v>0.72</v>
      </c>
      <c r="E538" s="3">
        <v>6.0000000000000004E-118</v>
      </c>
      <c r="F538">
        <v>45.83</v>
      </c>
      <c r="G538" t="str">
        <f>HYPERLINK("https://www.ncbi.nlm.nih.gov/nucleotide/XM_007330400.1?report=genbank&amp;log$=nucltop&amp;blast_rank=7&amp;RID=0RSS9YNU013","XM_007330400.1")</f>
        <v>XM_007330400.1</v>
      </c>
    </row>
    <row r="539" spans="1:7" x14ac:dyDescent="0.35">
      <c r="A539" t="s">
        <v>26</v>
      </c>
      <c r="B539">
        <v>371</v>
      </c>
      <c r="C539">
        <v>371</v>
      </c>
      <c r="D539" s="2">
        <v>0.72</v>
      </c>
      <c r="E539" s="3">
        <v>2.0000000000000001E-117</v>
      </c>
      <c r="F539">
        <v>45.6</v>
      </c>
      <c r="G539" t="str">
        <f>HYPERLINK("https://www.ncbi.nlm.nih.gov/nucleotide/XM_006459162.1?report=genbank&amp;log$=nucltop&amp;blast_rank=8&amp;RID=0RSS9YNU013","XM_006459162.1")</f>
        <v>XM_006459162.1</v>
      </c>
    </row>
    <row r="540" spans="1:7" x14ac:dyDescent="0.35">
      <c r="A540" t="s">
        <v>19</v>
      </c>
      <c r="B540">
        <v>384</v>
      </c>
      <c r="C540">
        <v>384</v>
      </c>
      <c r="D540" s="2">
        <v>0.8</v>
      </c>
      <c r="E540" s="3">
        <v>6.9999999999999997E-123</v>
      </c>
      <c r="F540">
        <v>44.35</v>
      </c>
      <c r="G540" t="str">
        <f>HYPERLINK("https://www.ncbi.nlm.nih.gov/nucleotide/XM_001880890.1?report=genbank&amp;log$=nucltop&amp;blast_rank=9&amp;RID=0RSS9YNU013","XM_001880890.1")</f>
        <v>XM_001880890.1</v>
      </c>
    </row>
    <row r="541" spans="1:7" x14ac:dyDescent="0.35">
      <c r="A541" t="s">
        <v>33</v>
      </c>
      <c r="B541">
        <v>367</v>
      </c>
      <c r="C541">
        <v>367</v>
      </c>
      <c r="D541" s="2">
        <v>0.8</v>
      </c>
      <c r="E541" s="3">
        <v>3.0000000000000002E-115</v>
      </c>
      <c r="F541">
        <v>43.11</v>
      </c>
      <c r="G541" t="str">
        <f>HYPERLINK("https://www.ncbi.nlm.nih.gov/nucleotide/XM_007300020.1?report=genbank&amp;log$=nucltop&amp;blast_rank=10&amp;RID=0RSS9YNU013","XM_007300020.1")</f>
        <v>XM_007300020.1</v>
      </c>
    </row>
    <row r="542" spans="1:7" x14ac:dyDescent="0.35">
      <c r="A542" t="s">
        <v>30</v>
      </c>
      <c r="B542">
        <v>131</v>
      </c>
      <c r="C542">
        <v>295</v>
      </c>
      <c r="D542" s="2">
        <v>0.7</v>
      </c>
      <c r="E542" s="3">
        <v>4.0000000000000003E-63</v>
      </c>
      <c r="F542">
        <v>40.96</v>
      </c>
      <c r="G542" t="str">
        <f>HYPERLINK("https://www.ncbi.nlm.nih.gov/nucleotide/CP031825.1?report=genbank&amp;log$=nucltop&amp;blast_rank=11&amp;RID=0RSS9YNU013","CP031825.1")</f>
        <v>CP031825.1</v>
      </c>
    </row>
    <row r="543" spans="1:7" x14ac:dyDescent="0.35">
      <c r="A543" t="s">
        <v>31</v>
      </c>
      <c r="B543">
        <v>131</v>
      </c>
      <c r="C543">
        <v>295</v>
      </c>
      <c r="D543" s="2">
        <v>0.7</v>
      </c>
      <c r="E543" s="3">
        <v>4.0000000000000003E-63</v>
      </c>
      <c r="F543">
        <v>40.96</v>
      </c>
      <c r="G543" t="str">
        <f>HYPERLINK("https://www.ncbi.nlm.nih.gov/nucleotide/LK023313.1?report=genbank&amp;log$=nucltop&amp;blast_rank=12&amp;RID=0RSS9YNU013","LK023313.1")</f>
        <v>LK023313.1</v>
      </c>
    </row>
    <row r="544" spans="1:7" x14ac:dyDescent="0.35">
      <c r="A544" t="s">
        <v>16</v>
      </c>
      <c r="B544">
        <v>210</v>
      </c>
      <c r="C544">
        <v>611</v>
      </c>
      <c r="D544" s="2">
        <v>0.72</v>
      </c>
      <c r="E544" s="3">
        <v>3.0000000000000001E-59</v>
      </c>
      <c r="F544">
        <v>40.92</v>
      </c>
      <c r="G544" t="str">
        <f>HYPERLINK("https://www.ncbi.nlm.nih.gov/nucleotide/CP039877.1?report=genbank&amp;log$=nucltop&amp;blast_rank=13&amp;RID=0RSS9YNU013","CP039877.1")</f>
        <v>CP039877.1</v>
      </c>
    </row>
    <row r="545" spans="1:7" x14ac:dyDescent="0.35">
      <c r="A545" t="s">
        <v>17</v>
      </c>
      <c r="B545">
        <v>210</v>
      </c>
      <c r="C545">
        <v>611</v>
      </c>
      <c r="D545" s="2">
        <v>0.72</v>
      </c>
      <c r="E545" s="3">
        <v>3.0000000000000001E-59</v>
      </c>
      <c r="F545">
        <v>40.92</v>
      </c>
      <c r="G545" t="str">
        <f>HYPERLINK("https://www.ncbi.nlm.nih.gov/nucleotide/CP015461.1?report=genbank&amp;log$=nucltop&amp;blast_rank=14&amp;RID=0RSS9YNU013","CP015461.1")</f>
        <v>CP015461.1</v>
      </c>
    </row>
    <row r="546" spans="1:7" x14ac:dyDescent="0.35">
      <c r="A546" t="s">
        <v>18</v>
      </c>
      <c r="B546">
        <v>210</v>
      </c>
      <c r="C546">
        <v>611</v>
      </c>
      <c r="D546" s="2">
        <v>0.72</v>
      </c>
      <c r="E546" s="3">
        <v>3.0000000000000001E-59</v>
      </c>
      <c r="F546">
        <v>40.92</v>
      </c>
      <c r="G546" t="str">
        <f>HYPERLINK("https://www.ncbi.nlm.nih.gov/nucleotide/CP015474.1?report=genbank&amp;log$=nucltop&amp;blast_rank=15&amp;RID=0RSS9YNU013","CP015474.1")</f>
        <v>CP015474.1</v>
      </c>
    </row>
    <row r="547" spans="1:7" x14ac:dyDescent="0.35">
      <c r="A547" t="s">
        <v>32</v>
      </c>
      <c r="B547">
        <v>305</v>
      </c>
      <c r="C547">
        <v>305</v>
      </c>
      <c r="D547" s="2">
        <v>0.72</v>
      </c>
      <c r="E547" s="3">
        <v>3.0000000000000002E-90</v>
      </c>
      <c r="F547">
        <v>40.14</v>
      </c>
      <c r="G547" t="str">
        <f>HYPERLINK("https://www.ncbi.nlm.nih.gov/nucleotide/XM_018429091.1?report=genbank&amp;log$=nucltop&amp;blast_rank=16&amp;RID=0RSS9YNU013","XM_018429091.1")</f>
        <v>XM_018429091.1</v>
      </c>
    </row>
    <row r="548" spans="1:7" x14ac:dyDescent="0.35">
      <c r="A548" t="s">
        <v>27</v>
      </c>
      <c r="B548">
        <v>147</v>
      </c>
      <c r="C548">
        <v>306</v>
      </c>
      <c r="D548" s="2">
        <v>0.77</v>
      </c>
      <c r="E548" s="3">
        <v>2E-66</v>
      </c>
      <c r="F548">
        <v>38.96</v>
      </c>
      <c r="G548" t="str">
        <f>HYPERLINK("https://www.ncbi.nlm.nih.gov/nucleotide/CP031830.1?report=genbank&amp;log$=nucltop&amp;blast_rank=17&amp;RID=0RSS9YNU013","CP031830.1")</f>
        <v>CP031830.1</v>
      </c>
    </row>
    <row r="549" spans="1:7" x14ac:dyDescent="0.35">
      <c r="A549" t="s">
        <v>28</v>
      </c>
      <c r="B549">
        <v>147</v>
      </c>
      <c r="C549">
        <v>306</v>
      </c>
      <c r="D549" s="2">
        <v>0.77</v>
      </c>
      <c r="E549" s="3">
        <v>2E-66</v>
      </c>
      <c r="F549">
        <v>38.96</v>
      </c>
      <c r="G549" t="str">
        <f>HYPERLINK("https://www.ncbi.nlm.nih.gov/nucleotide/LK023335.1?report=genbank&amp;log$=nucltop&amp;blast_rank=18&amp;RID=0RSS9YNU013","LK023335.1")</f>
        <v>LK023335.1</v>
      </c>
    </row>
    <row r="550" spans="1:7" x14ac:dyDescent="0.35">
      <c r="A550" t="s">
        <v>19</v>
      </c>
      <c r="B550">
        <v>276</v>
      </c>
      <c r="C550">
        <v>276</v>
      </c>
      <c r="D550" s="2">
        <v>0.74</v>
      </c>
      <c r="E550" s="3">
        <v>4.9999999999999998E-81</v>
      </c>
      <c r="F550">
        <v>37.61</v>
      </c>
      <c r="G550" t="str">
        <f>HYPERLINK("https://www.ncbi.nlm.nih.gov/nucleotide/XM_001880889.1?report=genbank&amp;log$=nucltop&amp;blast_rank=19&amp;RID=0RSS9YNU013","XM_001880889.1")</f>
        <v>XM_001880889.1</v>
      </c>
    </row>
    <row r="551" spans="1:7" x14ac:dyDescent="0.35">
      <c r="A551" s="4" t="s">
        <v>11</v>
      </c>
      <c r="B551" s="4">
        <v>296</v>
      </c>
      <c r="C551" s="4">
        <v>296</v>
      </c>
      <c r="D551" s="5">
        <v>0.81</v>
      </c>
      <c r="E551" s="6">
        <v>9.9999999999999993E-89</v>
      </c>
      <c r="F551" s="4">
        <v>37.42</v>
      </c>
      <c r="G551" s="4" t="str">
        <f>HYPERLINK("https://www.ncbi.nlm.nih.gov/nucleotide/AB551982.1?report=genbank&amp;log$=nucltop&amp;blast_rank=20&amp;RID=0RSS9YNU013","AB551982.1")</f>
        <v>AB551982.1</v>
      </c>
    </row>
    <row r="552" spans="1:7" x14ac:dyDescent="0.35">
      <c r="A552" t="s">
        <v>12</v>
      </c>
      <c r="B552">
        <v>266</v>
      </c>
      <c r="C552">
        <v>266</v>
      </c>
      <c r="D552" s="2">
        <v>0.74</v>
      </c>
      <c r="E552" s="3">
        <v>8E-78</v>
      </c>
      <c r="F552">
        <v>37.299999999999997</v>
      </c>
      <c r="G552" t="str">
        <f>HYPERLINK("https://www.ncbi.nlm.nih.gov/nucleotide/XM_036779060.1?report=genbank&amp;log$=nucltop&amp;blast_rank=21&amp;RID=0RSS9YNU013","XM_036779060.1")</f>
        <v>XM_036779060.1</v>
      </c>
    </row>
    <row r="553" spans="1:7" x14ac:dyDescent="0.35">
      <c r="A553" t="s">
        <v>14</v>
      </c>
      <c r="B553">
        <v>286</v>
      </c>
      <c r="C553">
        <v>286</v>
      </c>
      <c r="D553" s="2">
        <v>0.8</v>
      </c>
      <c r="E553" s="3">
        <v>2.0000000000000001E-84</v>
      </c>
      <c r="F553">
        <v>37.29</v>
      </c>
      <c r="G553" t="str">
        <f>HYPERLINK("https://www.ncbi.nlm.nih.gov/nucleotide/XM_007330301.1?report=genbank&amp;log$=nucltop&amp;blast_rank=22&amp;RID=0RSS9YNU013","XM_007330301.1")</f>
        <v>XM_007330301.1</v>
      </c>
    </row>
    <row r="554" spans="1:7" x14ac:dyDescent="0.35">
      <c r="A554" t="s">
        <v>15</v>
      </c>
      <c r="B554">
        <v>284</v>
      </c>
      <c r="C554">
        <v>284</v>
      </c>
      <c r="D554" s="2">
        <v>0.8</v>
      </c>
      <c r="E554" s="3">
        <v>8.0000000000000003E-84</v>
      </c>
      <c r="F554">
        <v>37.29</v>
      </c>
      <c r="G554" t="str">
        <f>HYPERLINK("https://www.ncbi.nlm.nih.gov/nucleotide/XM_006459161.1?report=genbank&amp;log$=nucltop&amp;blast_rank=23&amp;RID=0RSS9YNU013","XM_006459161.1")</f>
        <v>XM_006459161.1</v>
      </c>
    </row>
    <row r="555" spans="1:7" x14ac:dyDescent="0.35">
      <c r="A555" t="s">
        <v>22</v>
      </c>
      <c r="B555">
        <v>227</v>
      </c>
      <c r="C555">
        <v>227</v>
      </c>
      <c r="D555" s="2">
        <v>0.69</v>
      </c>
      <c r="E555" s="3">
        <v>1.0000000000000001E-63</v>
      </c>
      <c r="F555">
        <v>36.46</v>
      </c>
      <c r="G555" t="str">
        <f>HYPERLINK("https://www.ncbi.nlm.nih.gov/nucleotide/XM_001836369.2?report=genbank&amp;log$=nucltop&amp;blast_rank=24&amp;RID=0RSS9YNU013","XM_001836369.2")</f>
        <v>XM_001836369.2</v>
      </c>
    </row>
    <row r="556" spans="1:7" x14ac:dyDescent="0.35">
      <c r="A556" t="s">
        <v>21</v>
      </c>
      <c r="B556">
        <v>255</v>
      </c>
      <c r="C556">
        <v>255</v>
      </c>
      <c r="D556" s="2">
        <v>0.72</v>
      </c>
      <c r="E556" s="3">
        <v>9.9999999999999997E-73</v>
      </c>
      <c r="F556">
        <v>36.14</v>
      </c>
      <c r="G556" t="str">
        <f>HYPERLINK("https://www.ncbi.nlm.nih.gov/nucleotide/XM_009546986.1?report=genbank&amp;log$=nucltop&amp;blast_rank=25&amp;RID=0RSS9YNU013","XM_009546986.1")</f>
        <v>XM_009546986.1</v>
      </c>
    </row>
    <row r="557" spans="1:7" x14ac:dyDescent="0.35">
      <c r="A557" t="s">
        <v>39</v>
      </c>
      <c r="B557">
        <v>268</v>
      </c>
      <c r="C557">
        <v>268</v>
      </c>
      <c r="D557" s="2">
        <v>0.72</v>
      </c>
      <c r="E557" s="3">
        <v>9.9999999999999993E-78</v>
      </c>
      <c r="F557">
        <v>35.96</v>
      </c>
      <c r="G557" t="str">
        <f>HYPERLINK("https://www.ncbi.nlm.nih.gov/nucleotide/XM_025316703.1?report=genbank&amp;log$=nucltop&amp;blast_rank=26&amp;RID=0RSS9YNU013","XM_025316703.1")</f>
        <v>XM_025316703.1</v>
      </c>
    </row>
    <row r="558" spans="1:7" x14ac:dyDescent="0.35">
      <c r="A558" t="s">
        <v>35</v>
      </c>
      <c r="B558">
        <v>286</v>
      </c>
      <c r="C558">
        <v>286</v>
      </c>
      <c r="D558" s="2">
        <v>0.81</v>
      </c>
      <c r="E558" s="3">
        <v>5.0000000000000002E-85</v>
      </c>
      <c r="F558">
        <v>35.54</v>
      </c>
      <c r="G558" t="str">
        <f>HYPERLINK("https://www.ncbi.nlm.nih.gov/nucleotide/XM_023610462.1?report=genbank&amp;log$=nucltop&amp;blast_rank=27&amp;RID=0RSS9YNU013","XM_023610462.1")</f>
        <v>XM_023610462.1</v>
      </c>
    </row>
    <row r="559" spans="1:7" x14ac:dyDescent="0.35">
      <c r="A559" s="4" t="s">
        <v>41</v>
      </c>
      <c r="B559" s="4">
        <v>186</v>
      </c>
      <c r="C559" s="4">
        <v>186</v>
      </c>
      <c r="D559" s="5">
        <v>0.71</v>
      </c>
      <c r="E559" s="6">
        <v>3.9999999999999999E-48</v>
      </c>
      <c r="F559" s="4">
        <v>33.65</v>
      </c>
      <c r="G559" s="4" t="str">
        <f>HYPERLINK("https://www.ncbi.nlm.nih.gov/nucleotide/XM_032045412.1?report=genbank&amp;log$=nucltop&amp;blast_rank=28&amp;RID=0RSS9YNU013","XM_032045412.1")</f>
        <v>XM_032045412.1</v>
      </c>
    </row>
    <row r="560" spans="1:7" x14ac:dyDescent="0.35">
      <c r="A560" s="4" t="s">
        <v>13</v>
      </c>
      <c r="B560" s="4">
        <v>258</v>
      </c>
      <c r="C560" s="4">
        <v>258</v>
      </c>
      <c r="D560" s="5">
        <v>0.8</v>
      </c>
      <c r="E560" s="6">
        <v>1.9999999999999999E-74</v>
      </c>
      <c r="F560" s="4">
        <v>33.33</v>
      </c>
      <c r="G560" s="4" t="str">
        <f>HYPERLINK("https://www.ncbi.nlm.nih.gov/nucleotide/XM_037359092.1?report=genbank&amp;log$=nucltop&amp;blast_rank=29&amp;RID=0RSS9YNU013","XM_037359092.1")</f>
        <v>XM_037359092.1</v>
      </c>
    </row>
    <row r="561" spans="1:7" x14ac:dyDescent="0.35">
      <c r="A561" s="4" t="s">
        <v>20</v>
      </c>
      <c r="B561" s="4">
        <v>140</v>
      </c>
      <c r="C561" s="4">
        <v>288</v>
      </c>
      <c r="D561" s="5">
        <v>0.73</v>
      </c>
      <c r="E561" s="6">
        <v>8.0000000000000003E-61</v>
      </c>
      <c r="F561" s="4">
        <v>33.22</v>
      </c>
      <c r="G561" s="4" t="str">
        <f>HYPERLINK("https://www.ncbi.nlm.nih.gov/nucleotide/KJ999702.1?report=genbank&amp;log$=nucltop&amp;blast_rank=30&amp;RID=0RSS9YNU013","KJ999702.1")</f>
        <v>KJ999702.1</v>
      </c>
    </row>
    <row r="562" spans="1:7" x14ac:dyDescent="0.35">
      <c r="A562" t="s">
        <v>23</v>
      </c>
      <c r="B562">
        <v>218</v>
      </c>
      <c r="C562">
        <v>218</v>
      </c>
      <c r="D562" s="2">
        <v>0.72</v>
      </c>
      <c r="E562" s="3">
        <v>2.0000000000000001E-58</v>
      </c>
      <c r="F562">
        <v>33.119999999999997</v>
      </c>
      <c r="G562" t="str">
        <f>HYPERLINK("https://www.ncbi.nlm.nih.gov/nucleotide/XM_007300021.1?report=genbank&amp;log$=nucltop&amp;blast_rank=31&amp;RID=0RSS9YNU013","XM_007300021.1")</f>
        <v>XM_007300021.1</v>
      </c>
    </row>
    <row r="563" spans="1:7" x14ac:dyDescent="0.35">
      <c r="A563" t="s">
        <v>61</v>
      </c>
      <c r="B563">
        <v>159</v>
      </c>
      <c r="C563">
        <v>159</v>
      </c>
      <c r="D563" s="2">
        <v>0.68</v>
      </c>
      <c r="E563" s="3">
        <v>2.9999999999999999E-38</v>
      </c>
      <c r="F563">
        <v>32.450000000000003</v>
      </c>
      <c r="G563" t="str">
        <f>HYPERLINK("https://www.ncbi.nlm.nih.gov/nucleotide/XM_024831712.1?report=genbank&amp;log$=nucltop&amp;blast_rank=32&amp;RID=0RSS9YNU013","XM_024831712.1")</f>
        <v>XM_024831712.1</v>
      </c>
    </row>
    <row r="564" spans="1:7" x14ac:dyDescent="0.35">
      <c r="A564" t="s">
        <v>44</v>
      </c>
      <c r="B564">
        <v>158</v>
      </c>
      <c r="C564">
        <v>158</v>
      </c>
      <c r="D564" s="2">
        <v>0.62</v>
      </c>
      <c r="E564" s="3">
        <v>9.9999999999999996E-39</v>
      </c>
      <c r="F564">
        <v>31.91</v>
      </c>
      <c r="G564" t="str">
        <f>HYPERLINK("https://www.ncbi.nlm.nih.gov/nucleotide/XM_033572072.1?report=genbank&amp;log$=nucltop&amp;blast_rank=33&amp;RID=0RSS9YNU013","XM_033572072.1")</f>
        <v>XM_033572072.1</v>
      </c>
    </row>
    <row r="565" spans="1:7" x14ac:dyDescent="0.35">
      <c r="A565" t="s">
        <v>36</v>
      </c>
      <c r="B565">
        <v>90.9</v>
      </c>
      <c r="C565">
        <v>174</v>
      </c>
      <c r="D565" s="2">
        <v>0.69</v>
      </c>
      <c r="E565" s="3">
        <v>4.0000000000000002E-33</v>
      </c>
      <c r="F565">
        <v>31.9</v>
      </c>
      <c r="G565" t="str">
        <f>HYPERLINK("https://www.ncbi.nlm.nih.gov/nucleotide/AM270105.1?report=genbank&amp;log$=nucltop&amp;blast_rank=34&amp;RID=0RSS9YNU013","AM270105.1")</f>
        <v>AM270105.1</v>
      </c>
    </row>
    <row r="566" spans="1:7" x14ac:dyDescent="0.35">
      <c r="A566" t="s">
        <v>49</v>
      </c>
      <c r="B566">
        <v>143</v>
      </c>
      <c r="C566">
        <v>143</v>
      </c>
      <c r="D566" s="2">
        <v>0.65</v>
      </c>
      <c r="E566" s="3">
        <v>8.0000000000000004E-33</v>
      </c>
      <c r="F566">
        <v>31.62</v>
      </c>
      <c r="G566" t="str">
        <f>HYPERLINK("https://www.ncbi.nlm.nih.gov/nucleotide/XM_001217916.1?report=genbank&amp;log$=nucltop&amp;blast_rank=35&amp;RID=0RSS9YNU013","XM_001217916.1")</f>
        <v>XM_001217916.1</v>
      </c>
    </row>
    <row r="567" spans="1:7" x14ac:dyDescent="0.35">
      <c r="A567" t="s">
        <v>82</v>
      </c>
      <c r="B567">
        <v>134</v>
      </c>
      <c r="C567">
        <v>134</v>
      </c>
      <c r="D567" s="2">
        <v>0.56000000000000005</v>
      </c>
      <c r="E567" s="3">
        <v>2.0000000000000002E-30</v>
      </c>
      <c r="F567">
        <v>31.38</v>
      </c>
      <c r="G567" t="str">
        <f>HYPERLINK("https://www.ncbi.nlm.nih.gov/nucleotide/XM_033601052.1?report=genbank&amp;log$=nucltop&amp;blast_rank=36&amp;RID=0RSS9YNU013","XM_033601052.1")</f>
        <v>XM_033601052.1</v>
      </c>
    </row>
    <row r="568" spans="1:7" x14ac:dyDescent="0.35">
      <c r="A568" t="s">
        <v>69</v>
      </c>
      <c r="B568">
        <v>185</v>
      </c>
      <c r="C568">
        <v>185</v>
      </c>
      <c r="D568" s="2">
        <v>0.71</v>
      </c>
      <c r="E568" s="3">
        <v>1.9999999999999999E-47</v>
      </c>
      <c r="F568">
        <v>31.37</v>
      </c>
      <c r="G568" t="str">
        <f>HYPERLINK("https://www.ncbi.nlm.nih.gov/nucleotide/XM_001390712.2?report=genbank&amp;log$=nucltop&amp;blast_rank=37&amp;RID=0RSS9YNU013","XM_001390712.2")</f>
        <v>XM_001390712.2</v>
      </c>
    </row>
    <row r="569" spans="1:7" x14ac:dyDescent="0.35">
      <c r="A569" s="4" t="s">
        <v>65</v>
      </c>
      <c r="B569" s="4">
        <v>181</v>
      </c>
      <c r="C569" s="4">
        <v>181</v>
      </c>
      <c r="D569" s="5">
        <v>0.71</v>
      </c>
      <c r="E569" s="6">
        <v>4.9999999999999999E-46</v>
      </c>
      <c r="F569" s="4">
        <v>31.37</v>
      </c>
      <c r="G569" s="4" t="str">
        <f>HYPERLINK("https://www.ncbi.nlm.nih.gov/nucleotide/XM_026774556.1?report=genbank&amp;log$=nucltop&amp;blast_rank=38&amp;RID=0RSS9YNU013","XM_026774556.1")</f>
        <v>XM_026774556.1</v>
      </c>
    </row>
    <row r="570" spans="1:7" x14ac:dyDescent="0.35">
      <c r="A570" t="s">
        <v>474</v>
      </c>
      <c r="B570">
        <v>80.5</v>
      </c>
      <c r="C570">
        <v>152</v>
      </c>
      <c r="D570" s="2">
        <v>0.61</v>
      </c>
      <c r="E570" s="3">
        <v>1E-26</v>
      </c>
      <c r="F570">
        <v>31.25</v>
      </c>
      <c r="G570" t="str">
        <f>HYPERLINK("https://www.ncbi.nlm.nih.gov/nucleotide/CP061806.1?report=genbank&amp;log$=nucltop&amp;blast_rank=39&amp;RID=0RSS9YNU013","CP061806.1")</f>
        <v>CP061806.1</v>
      </c>
    </row>
    <row r="571" spans="1:7" x14ac:dyDescent="0.35">
      <c r="A571" t="s">
        <v>475</v>
      </c>
      <c r="B571">
        <v>80.5</v>
      </c>
      <c r="C571">
        <v>152</v>
      </c>
      <c r="D571" s="2">
        <v>0.61</v>
      </c>
      <c r="E571" s="3">
        <v>1E-26</v>
      </c>
      <c r="F571">
        <v>31.25</v>
      </c>
      <c r="G571" t="str">
        <f>HYPERLINK("https://www.ncbi.nlm.nih.gov/nucleotide/CP051037.1?report=genbank&amp;log$=nucltop&amp;blast_rank=40&amp;RID=0RSS9YNU013","CP051037.1")</f>
        <v>CP051037.1</v>
      </c>
    </row>
    <row r="572" spans="1:7" x14ac:dyDescent="0.35">
      <c r="A572" t="s">
        <v>476</v>
      </c>
      <c r="B572">
        <v>80.5</v>
      </c>
      <c r="C572">
        <v>152</v>
      </c>
      <c r="D572" s="2">
        <v>0.61</v>
      </c>
      <c r="E572" s="3">
        <v>1E-26</v>
      </c>
      <c r="F572">
        <v>31.25</v>
      </c>
      <c r="G572" t="str">
        <f>HYPERLINK("https://www.ncbi.nlm.nih.gov/nucleotide/CP051029.1?report=genbank&amp;log$=nucltop&amp;blast_rank=41&amp;RID=0RSS9YNU013","CP051029.1")</f>
        <v>CP051029.1</v>
      </c>
    </row>
    <row r="573" spans="1:7" x14ac:dyDescent="0.35">
      <c r="A573" t="s">
        <v>477</v>
      </c>
      <c r="B573">
        <v>80.5</v>
      </c>
      <c r="C573">
        <v>152</v>
      </c>
      <c r="D573" s="2">
        <v>0.61</v>
      </c>
      <c r="E573" s="3">
        <v>1E-26</v>
      </c>
      <c r="F573">
        <v>31.25</v>
      </c>
      <c r="G573" t="str">
        <f>HYPERLINK("https://www.ncbi.nlm.nih.gov/nucleotide/CP044620.1?report=genbank&amp;log$=nucltop&amp;blast_rank=42&amp;RID=0RSS9YNU013","CP044620.1")</f>
        <v>CP044620.1</v>
      </c>
    </row>
    <row r="574" spans="1:7" x14ac:dyDescent="0.35">
      <c r="A574" t="s">
        <v>478</v>
      </c>
      <c r="B574">
        <v>80.5</v>
      </c>
      <c r="C574">
        <v>152</v>
      </c>
      <c r="D574" s="2">
        <v>0.61</v>
      </c>
      <c r="E574" s="3">
        <v>1E-26</v>
      </c>
      <c r="F574">
        <v>31.25</v>
      </c>
      <c r="G574" t="str">
        <f>HYPERLINK("https://www.ncbi.nlm.nih.gov/nucleotide/CP059868.1?report=genbank&amp;log$=nucltop&amp;blast_rank=43&amp;RID=0RSS9YNU013","CP059868.1")</f>
        <v>CP059868.1</v>
      </c>
    </row>
    <row r="575" spans="1:7" x14ac:dyDescent="0.35">
      <c r="A575" t="s">
        <v>479</v>
      </c>
      <c r="B575">
        <v>80.5</v>
      </c>
      <c r="C575">
        <v>152</v>
      </c>
      <c r="D575" s="2">
        <v>0.61</v>
      </c>
      <c r="E575" s="3">
        <v>1E-26</v>
      </c>
      <c r="F575">
        <v>31.25</v>
      </c>
      <c r="G575" t="str">
        <f>HYPERLINK("https://www.ncbi.nlm.nih.gov/nucleotide/CP051053.1?report=genbank&amp;log$=nucltop&amp;blast_rank=44&amp;RID=0RSS9YNU013","CP051053.1")</f>
        <v>CP051053.1</v>
      </c>
    </row>
    <row r="576" spans="1:7" x14ac:dyDescent="0.35">
      <c r="A576" t="s">
        <v>480</v>
      </c>
      <c r="B576">
        <v>80.5</v>
      </c>
      <c r="C576">
        <v>152</v>
      </c>
      <c r="D576" s="2">
        <v>0.61</v>
      </c>
      <c r="E576" s="3">
        <v>1E-26</v>
      </c>
      <c r="F576">
        <v>31.25</v>
      </c>
      <c r="G576" t="str">
        <f>HYPERLINK("https://www.ncbi.nlm.nih.gov/nucleotide/CP059860.1?report=genbank&amp;log$=nucltop&amp;blast_rank=45&amp;RID=0RSS9YNU013","CP059860.1")</f>
        <v>CP059860.1</v>
      </c>
    </row>
    <row r="577" spans="1:7" x14ac:dyDescent="0.35">
      <c r="A577" t="s">
        <v>481</v>
      </c>
      <c r="B577">
        <v>80.5</v>
      </c>
      <c r="C577">
        <v>152</v>
      </c>
      <c r="D577" s="2">
        <v>0.61</v>
      </c>
      <c r="E577" s="3">
        <v>1E-26</v>
      </c>
      <c r="F577">
        <v>31.25</v>
      </c>
      <c r="G577" t="str">
        <f>HYPERLINK("https://www.ncbi.nlm.nih.gov/nucleotide/CP051045.1?report=genbank&amp;log$=nucltop&amp;blast_rank=46&amp;RID=0RSS9YNU013","CP051045.1")</f>
        <v>CP051045.1</v>
      </c>
    </row>
    <row r="578" spans="1:7" x14ac:dyDescent="0.35">
      <c r="A578" t="s">
        <v>482</v>
      </c>
      <c r="B578">
        <v>80.5</v>
      </c>
      <c r="C578">
        <v>152</v>
      </c>
      <c r="D578" s="2">
        <v>0.61</v>
      </c>
      <c r="E578" s="3">
        <v>1E-26</v>
      </c>
      <c r="F578">
        <v>31.25</v>
      </c>
      <c r="G578" t="str">
        <f>HYPERLINK("https://www.ncbi.nlm.nih.gov/nucleotide/CP051069.1?report=genbank&amp;log$=nucltop&amp;blast_rank=47&amp;RID=0RSS9YNU013","CP051069.1")</f>
        <v>CP051069.1</v>
      </c>
    </row>
    <row r="579" spans="1:7" x14ac:dyDescent="0.35">
      <c r="A579" t="s">
        <v>485</v>
      </c>
      <c r="B579">
        <v>80.099999999999994</v>
      </c>
      <c r="C579">
        <v>152</v>
      </c>
      <c r="D579" s="2">
        <v>0.61</v>
      </c>
      <c r="E579" s="3">
        <v>1E-26</v>
      </c>
      <c r="F579">
        <v>31.25</v>
      </c>
      <c r="G579" t="str">
        <f>HYPERLINK("https://www.ncbi.nlm.nih.gov/nucleotide/CP051085.1?report=genbank&amp;log$=nucltop&amp;blast_rank=48&amp;RID=0RSS9YNU013","CP051085.1")</f>
        <v>CP051085.1</v>
      </c>
    </row>
    <row r="580" spans="1:7" x14ac:dyDescent="0.35">
      <c r="A580" t="s">
        <v>486</v>
      </c>
      <c r="B580">
        <v>80.099999999999994</v>
      </c>
      <c r="C580">
        <v>152</v>
      </c>
      <c r="D580" s="2">
        <v>0.61</v>
      </c>
      <c r="E580" s="3">
        <v>1E-26</v>
      </c>
      <c r="F580">
        <v>31.25</v>
      </c>
      <c r="G580" t="str">
        <f>HYPERLINK("https://www.ncbi.nlm.nih.gov/nucleotide/CP051061.1?report=genbank&amp;log$=nucltop&amp;blast_rank=49&amp;RID=0RSS9YNU013","CP051061.1")</f>
        <v>CP051061.1</v>
      </c>
    </row>
    <row r="581" spans="1:7" x14ac:dyDescent="0.35">
      <c r="A581" t="s">
        <v>487</v>
      </c>
      <c r="B581">
        <v>80.099999999999994</v>
      </c>
      <c r="C581">
        <v>152</v>
      </c>
      <c r="D581" s="2">
        <v>0.61</v>
      </c>
      <c r="E581" s="3">
        <v>1E-26</v>
      </c>
      <c r="F581">
        <v>31.25</v>
      </c>
      <c r="G581" t="str">
        <f>HYPERLINK("https://www.ncbi.nlm.nih.gov/nucleotide/CP051093.1?report=genbank&amp;log$=nucltop&amp;blast_rank=50&amp;RID=0RSS9YNU013","CP051093.1")</f>
        <v>CP051093.1</v>
      </c>
    </row>
    <row r="582" spans="1:7" x14ac:dyDescent="0.35">
      <c r="A582" t="s">
        <v>488</v>
      </c>
      <c r="B582">
        <v>80.099999999999994</v>
      </c>
      <c r="C582">
        <v>152</v>
      </c>
      <c r="D582" s="2">
        <v>0.61</v>
      </c>
      <c r="E582" s="3">
        <v>1E-26</v>
      </c>
      <c r="F582">
        <v>31.25</v>
      </c>
      <c r="G582" t="str">
        <f>HYPERLINK("https://www.ncbi.nlm.nih.gov/nucleotide/CP051021.1?report=genbank&amp;log$=nucltop&amp;blast_rank=51&amp;RID=0RSS9YNU013","CP051021.1")</f>
        <v>CP051021.1</v>
      </c>
    </row>
    <row r="583" spans="1:7" x14ac:dyDescent="0.35">
      <c r="A583" t="s">
        <v>483</v>
      </c>
      <c r="B583">
        <v>80.099999999999994</v>
      </c>
      <c r="C583">
        <v>152</v>
      </c>
      <c r="D583" s="2">
        <v>0.61</v>
      </c>
      <c r="E583" s="3">
        <v>1E-26</v>
      </c>
      <c r="F583">
        <v>31.25</v>
      </c>
      <c r="G583" t="str">
        <f>HYPERLINK("https://www.ncbi.nlm.nih.gov/nucleotide/CP047251.1?report=genbank&amp;log$=nucltop&amp;blast_rank=52&amp;RID=0RSS9YNU013","CP047251.1")</f>
        <v>CP047251.1</v>
      </c>
    </row>
    <row r="584" spans="1:7" x14ac:dyDescent="0.35">
      <c r="A584" t="s">
        <v>489</v>
      </c>
      <c r="B584">
        <v>80.099999999999994</v>
      </c>
      <c r="C584">
        <v>152</v>
      </c>
      <c r="D584" s="2">
        <v>0.61</v>
      </c>
      <c r="E584" s="3">
        <v>1E-26</v>
      </c>
      <c r="F584">
        <v>31.25</v>
      </c>
      <c r="G584" t="str">
        <f>HYPERLINK("https://www.ncbi.nlm.nih.gov/nucleotide/CP051077.1?report=genbank&amp;log$=nucltop&amp;blast_rank=53&amp;RID=0RSS9YNU013","CP051077.1")</f>
        <v>CP051077.1</v>
      </c>
    </row>
    <row r="585" spans="1:7" x14ac:dyDescent="0.35">
      <c r="A585" t="s">
        <v>484</v>
      </c>
      <c r="B585">
        <v>80.099999999999994</v>
      </c>
      <c r="C585">
        <v>152</v>
      </c>
      <c r="D585" s="2">
        <v>0.61</v>
      </c>
      <c r="E585" s="3">
        <v>1E-26</v>
      </c>
      <c r="F585">
        <v>31.25</v>
      </c>
      <c r="G585" t="str">
        <f>HYPERLINK("https://www.ncbi.nlm.nih.gov/nucleotide/AP007157.1?report=genbank&amp;log$=nucltop&amp;blast_rank=54&amp;RID=0RSS9YNU013","AP007157.1")</f>
        <v>AP007157.1</v>
      </c>
    </row>
    <row r="586" spans="1:7" x14ac:dyDescent="0.35">
      <c r="A586" t="s">
        <v>490</v>
      </c>
      <c r="B586">
        <v>79.7</v>
      </c>
      <c r="C586">
        <v>294</v>
      </c>
      <c r="D586" s="2">
        <v>0.61</v>
      </c>
      <c r="E586" s="3">
        <v>8.9999999999999998E-26</v>
      </c>
      <c r="F586">
        <v>31.25</v>
      </c>
      <c r="G586" t="str">
        <f>HYPERLINK("https://www.ncbi.nlm.nih.gov/nucleotide/CP035528.1?report=genbank&amp;log$=nucltop&amp;blast_rank=55&amp;RID=0RSS9YNU013","CP035528.1")</f>
        <v>CP035528.1</v>
      </c>
    </row>
    <row r="587" spans="1:7" x14ac:dyDescent="0.35">
      <c r="A587" t="s">
        <v>45</v>
      </c>
      <c r="B587">
        <v>182</v>
      </c>
      <c r="C587">
        <v>182</v>
      </c>
      <c r="D587" s="2">
        <v>0.74</v>
      </c>
      <c r="E587" s="3">
        <v>6.9999999999999996E-47</v>
      </c>
      <c r="F587">
        <v>31.04</v>
      </c>
      <c r="G587" t="str">
        <f>HYPERLINK("https://www.ncbi.nlm.nih.gov/nucleotide/XM_007926421.1?report=genbank&amp;log$=nucltop&amp;blast_rank=56&amp;RID=0RSS9YNU013","XM_007926421.1")</f>
        <v>XM_007926421.1</v>
      </c>
    </row>
    <row r="588" spans="1:7" x14ac:dyDescent="0.35">
      <c r="A588" t="s">
        <v>48</v>
      </c>
      <c r="B588">
        <v>160</v>
      </c>
      <c r="C588">
        <v>160</v>
      </c>
      <c r="D588" s="2">
        <v>0.69</v>
      </c>
      <c r="E588" s="3">
        <v>5.9999999999999998E-38</v>
      </c>
      <c r="F588">
        <v>30.95</v>
      </c>
      <c r="G588" t="str">
        <f>HYPERLINK("https://www.ncbi.nlm.nih.gov/nucleotide/XM_009499650.1?report=genbank&amp;log$=nucltop&amp;blast_rank=57&amp;RID=0RSS9YNU013","XM_009499650.1")</f>
        <v>XM_009499650.1</v>
      </c>
    </row>
    <row r="589" spans="1:7" x14ac:dyDescent="0.35">
      <c r="A589" t="s">
        <v>53</v>
      </c>
      <c r="B589">
        <v>183</v>
      </c>
      <c r="C589">
        <v>183</v>
      </c>
      <c r="D589" s="2">
        <v>0.73</v>
      </c>
      <c r="E589" s="3">
        <v>2E-46</v>
      </c>
      <c r="F589">
        <v>30.91</v>
      </c>
      <c r="G589" t="str">
        <f>HYPERLINK("https://www.ncbi.nlm.nih.gov/nucleotide/XM_025704096.1?report=genbank&amp;log$=nucltop&amp;blast_rank=58&amp;RID=0RSS9YNU013","XM_025704096.1")</f>
        <v>XM_025704096.1</v>
      </c>
    </row>
    <row r="590" spans="1:7" x14ac:dyDescent="0.35">
      <c r="A590" t="s">
        <v>51</v>
      </c>
      <c r="B590">
        <v>177</v>
      </c>
      <c r="C590">
        <v>177</v>
      </c>
      <c r="D590" s="2">
        <v>0.73</v>
      </c>
      <c r="E590" s="3">
        <v>7E-45</v>
      </c>
      <c r="F590">
        <v>30.91</v>
      </c>
      <c r="G590" t="str">
        <f>HYPERLINK("https://www.ncbi.nlm.nih.gov/nucleotide/XM_025528552.1?report=genbank&amp;log$=nucltop&amp;blast_rank=59&amp;RID=0RSS9YNU013","XM_025528552.1")</f>
        <v>XM_025528552.1</v>
      </c>
    </row>
    <row r="591" spans="1:7" x14ac:dyDescent="0.35">
      <c r="A591" t="s">
        <v>52</v>
      </c>
      <c r="B591">
        <v>118</v>
      </c>
      <c r="C591">
        <v>118</v>
      </c>
      <c r="D591" s="2">
        <v>0.51</v>
      </c>
      <c r="E591" s="3">
        <v>2.0000000000000001E-25</v>
      </c>
      <c r="F591">
        <v>30.58</v>
      </c>
      <c r="G591" t="str">
        <f>HYPERLINK("https://www.ncbi.nlm.nih.gov/nucleotide/XM_003857413.1?report=genbank&amp;log$=nucltop&amp;blast_rank=60&amp;RID=0RSS9YNU013","XM_003857413.1")</f>
        <v>XM_003857413.1</v>
      </c>
    </row>
    <row r="592" spans="1:7" x14ac:dyDescent="0.35">
      <c r="A592" t="s">
        <v>85</v>
      </c>
      <c r="B592">
        <v>179</v>
      </c>
      <c r="C592">
        <v>179</v>
      </c>
      <c r="D592" s="2">
        <v>0.71</v>
      </c>
      <c r="E592" s="3">
        <v>9E-46</v>
      </c>
      <c r="F592">
        <v>30.57</v>
      </c>
      <c r="G592" t="str">
        <f>HYPERLINK("https://www.ncbi.nlm.nih.gov/nucleotide/XM_002559523.1?report=genbank&amp;log$=nucltop&amp;blast_rank=61&amp;RID=0RSS9YNU013","XM_002559523.1")</f>
        <v>XM_002559523.1</v>
      </c>
    </row>
    <row r="593" spans="1:7" x14ac:dyDescent="0.35">
      <c r="A593" t="s">
        <v>43</v>
      </c>
      <c r="B593">
        <v>165</v>
      </c>
      <c r="C593">
        <v>165</v>
      </c>
      <c r="D593" s="2">
        <v>0.7</v>
      </c>
      <c r="E593" s="3">
        <v>1.9999999999999999E-40</v>
      </c>
      <c r="F593">
        <v>30.31</v>
      </c>
      <c r="G593" t="str">
        <f>HYPERLINK("https://www.ncbi.nlm.nih.gov/nucleotide/XM_022549209.1?report=genbank&amp;log$=nucltop&amp;blast_rank=62&amp;RID=0RSS9YNU013","XM_022549209.1")</f>
        <v>XM_022549209.1</v>
      </c>
    </row>
    <row r="594" spans="1:7" x14ac:dyDescent="0.35">
      <c r="A594" t="s">
        <v>54</v>
      </c>
      <c r="B594">
        <v>131</v>
      </c>
      <c r="C594">
        <v>131</v>
      </c>
      <c r="D594" s="2">
        <v>0.56999999999999995</v>
      </c>
      <c r="E594" s="3">
        <v>6.0000000000000001E-28</v>
      </c>
      <c r="F594">
        <v>30.18</v>
      </c>
      <c r="G594" t="str">
        <f>HYPERLINK("https://www.ncbi.nlm.nih.gov/nucleotide/LT853692.1?report=genbank&amp;log$=nucltop&amp;blast_rank=63&amp;RID=0RSS9YNU013","LT853692.1")</f>
        <v>LT853692.1</v>
      </c>
    </row>
    <row r="595" spans="1:7" x14ac:dyDescent="0.35">
      <c r="A595" t="s">
        <v>57</v>
      </c>
      <c r="B595">
        <v>129</v>
      </c>
      <c r="C595">
        <v>129</v>
      </c>
      <c r="D595" s="2">
        <v>0.56999999999999995</v>
      </c>
      <c r="E595" s="3">
        <v>3.0000000000000001E-27</v>
      </c>
      <c r="F595">
        <v>29.88</v>
      </c>
      <c r="G595" t="str">
        <f>HYPERLINK("https://www.ncbi.nlm.nih.gov/nucleotide/LT854253.1?report=genbank&amp;log$=nucltop&amp;blast_rank=64&amp;RID=0RSS9YNU013","LT854253.1")</f>
        <v>LT854253.1</v>
      </c>
    </row>
    <row r="596" spans="1:7" x14ac:dyDescent="0.35">
      <c r="A596" t="s">
        <v>59</v>
      </c>
      <c r="B596">
        <v>129</v>
      </c>
      <c r="C596">
        <v>129</v>
      </c>
      <c r="D596" s="2">
        <v>0.56999999999999995</v>
      </c>
      <c r="E596" s="3">
        <v>5.0000000000000002E-27</v>
      </c>
      <c r="F596">
        <v>29.88</v>
      </c>
      <c r="G596" t="str">
        <f>HYPERLINK("https://www.ncbi.nlm.nih.gov/nucleotide/LT882676.1?report=genbank&amp;log$=nucltop&amp;blast_rank=65&amp;RID=0RSS9YNU013","LT882676.1")</f>
        <v>LT882676.1</v>
      </c>
    </row>
    <row r="597" spans="1:7" x14ac:dyDescent="0.35">
      <c r="A597" t="s">
        <v>58</v>
      </c>
      <c r="B597">
        <v>129</v>
      </c>
      <c r="C597">
        <v>129</v>
      </c>
      <c r="D597" s="2">
        <v>0.56999999999999995</v>
      </c>
      <c r="E597" s="3">
        <v>5.0000000000000002E-27</v>
      </c>
      <c r="F597">
        <v>29.88</v>
      </c>
      <c r="G597" t="str">
        <f>HYPERLINK("https://www.ncbi.nlm.nih.gov/nucleotide/LT854273.1?report=genbank&amp;log$=nucltop&amp;blast_rank=66&amp;RID=0RSS9YNU013","LT854273.1")</f>
        <v>LT854273.1</v>
      </c>
    </row>
    <row r="598" spans="1:7" x14ac:dyDescent="0.35">
      <c r="A598" t="s">
        <v>101</v>
      </c>
      <c r="B598">
        <v>141</v>
      </c>
      <c r="C598">
        <v>141</v>
      </c>
      <c r="D598" s="2">
        <v>0.69</v>
      </c>
      <c r="E598" s="3">
        <v>1.0000000000000001E-32</v>
      </c>
      <c r="F598">
        <v>29.83</v>
      </c>
      <c r="G598" t="str">
        <f>HYPERLINK("https://www.ncbi.nlm.nih.gov/nucleotide/XM_023596533.1?report=genbank&amp;log$=nucltop&amp;blast_rank=67&amp;RID=0RSS9YNU013","XM_023596533.1")</f>
        <v>XM_023596533.1</v>
      </c>
    </row>
    <row r="599" spans="1:7" x14ac:dyDescent="0.35">
      <c r="A599" t="s">
        <v>80</v>
      </c>
      <c r="B599">
        <v>172</v>
      </c>
      <c r="C599">
        <v>172</v>
      </c>
      <c r="D599" s="2">
        <v>0.71</v>
      </c>
      <c r="E599" s="3">
        <v>2.0000000000000001E-42</v>
      </c>
      <c r="F599">
        <v>29.8</v>
      </c>
      <c r="G599" t="str">
        <f>HYPERLINK("https://www.ncbi.nlm.nih.gov/nucleotide/XM_025662501.1?report=genbank&amp;log$=nucltop&amp;blast_rank=68&amp;RID=0RSS9YNU013","XM_025662501.1")</f>
        <v>XM_025662501.1</v>
      </c>
    </row>
    <row r="600" spans="1:7" x14ac:dyDescent="0.35">
      <c r="A600" t="s">
        <v>79</v>
      </c>
      <c r="B600">
        <v>164</v>
      </c>
      <c r="C600">
        <v>164</v>
      </c>
      <c r="D600" s="2">
        <v>0.65</v>
      </c>
      <c r="E600" s="3">
        <v>3.9999999999999997E-40</v>
      </c>
      <c r="F600">
        <v>29.33</v>
      </c>
      <c r="G600" t="str">
        <f>HYPERLINK("https://www.ncbi.nlm.nih.gov/nucleotide/XM_033553550.1?report=genbank&amp;log$=nucltop&amp;blast_rank=69&amp;RID=0RSS9YNU013","XM_033553550.1")</f>
        <v>XM_033553550.1</v>
      </c>
    </row>
    <row r="601" spans="1:7" x14ac:dyDescent="0.35">
      <c r="A601" t="s">
        <v>42</v>
      </c>
      <c r="B601">
        <v>148</v>
      </c>
      <c r="C601">
        <v>148</v>
      </c>
      <c r="D601" s="2">
        <v>0.7</v>
      </c>
      <c r="E601" s="3">
        <v>1.9999999999999999E-34</v>
      </c>
      <c r="F601">
        <v>29.19</v>
      </c>
      <c r="G601" t="str">
        <f>HYPERLINK("https://www.ncbi.nlm.nih.gov/nucleotide/XM_015554209.1?report=genbank&amp;log$=nucltop&amp;blast_rank=70&amp;RID=0RSS9YNU013","XM_015554209.1")</f>
        <v>XM_015554209.1</v>
      </c>
    </row>
    <row r="602" spans="1:7" x14ac:dyDescent="0.35">
      <c r="A602" t="s">
        <v>56</v>
      </c>
      <c r="B602">
        <v>175</v>
      </c>
      <c r="C602">
        <v>175</v>
      </c>
      <c r="D602" s="2">
        <v>0.72</v>
      </c>
      <c r="E602" s="3">
        <v>8.9999999999999997E-45</v>
      </c>
      <c r="F602">
        <v>29.18</v>
      </c>
      <c r="G602" t="str">
        <f>HYPERLINK("https://www.ncbi.nlm.nih.gov/nucleotide/XM_024844676.1?report=genbank&amp;log$=nucltop&amp;blast_rank=71&amp;RID=0RSS9YNU013","XM_024844676.1")</f>
        <v>XM_024844676.1</v>
      </c>
    </row>
    <row r="603" spans="1:7" x14ac:dyDescent="0.35">
      <c r="A603" t="s">
        <v>89</v>
      </c>
      <c r="B603">
        <v>149</v>
      </c>
      <c r="C603">
        <v>149</v>
      </c>
      <c r="D603" s="2">
        <v>0.68</v>
      </c>
      <c r="E603" s="3">
        <v>3.9999999999999997E-34</v>
      </c>
      <c r="F603">
        <v>28.97</v>
      </c>
      <c r="G603" t="str">
        <f>HYPERLINK("https://www.ncbi.nlm.nih.gov/nucleotide/XM_024828224.1?report=genbank&amp;log$=nucltop&amp;blast_rank=72&amp;RID=0RSS9YNU013","XM_024828224.1")</f>
        <v>XM_024828224.1</v>
      </c>
    </row>
    <row r="604" spans="1:7" x14ac:dyDescent="0.35">
      <c r="A604" t="s">
        <v>81</v>
      </c>
      <c r="B604">
        <v>145</v>
      </c>
      <c r="C604">
        <v>145</v>
      </c>
      <c r="D604" s="2">
        <v>0.68</v>
      </c>
      <c r="E604" s="3">
        <v>6.9999999999999997E-34</v>
      </c>
      <c r="F604">
        <v>28.94</v>
      </c>
      <c r="G604" t="str">
        <f>HYPERLINK("https://www.ncbi.nlm.nih.gov/nucleotide/XM_011327711.1?report=genbank&amp;log$=nucltop&amp;blast_rank=73&amp;RID=0RSS9YNU013","XM_011327711.1")</f>
        <v>XM_011327711.1</v>
      </c>
    </row>
    <row r="605" spans="1:7" x14ac:dyDescent="0.35">
      <c r="A605" s="4" t="s">
        <v>60</v>
      </c>
      <c r="B605" s="4">
        <v>167</v>
      </c>
      <c r="C605" s="4">
        <v>167</v>
      </c>
      <c r="D605" s="5">
        <v>0.71</v>
      </c>
      <c r="E605" s="6">
        <v>9.9999999999999993E-41</v>
      </c>
      <c r="F605" s="4">
        <v>28.86</v>
      </c>
      <c r="G605" s="4" t="str">
        <f>HYPERLINK("https://www.ncbi.nlm.nih.gov/nucleotide/XM_035498527.1?report=genbank&amp;log$=nucltop&amp;blast_rank=74&amp;RID=0RSS9YNU013","XM_035498527.1")</f>
        <v>XM_035498527.1</v>
      </c>
    </row>
    <row r="606" spans="1:7" x14ac:dyDescent="0.35">
      <c r="A606" t="s">
        <v>76</v>
      </c>
      <c r="B606">
        <v>156</v>
      </c>
      <c r="C606">
        <v>156</v>
      </c>
      <c r="D606" s="2">
        <v>0.68</v>
      </c>
      <c r="E606" s="3">
        <v>4.9999999999999997E-37</v>
      </c>
      <c r="F606">
        <v>28.85</v>
      </c>
      <c r="G606" t="str">
        <f>HYPERLINK("https://www.ncbi.nlm.nih.gov/nucleotide/XM_026762387.1?report=genbank&amp;log$=nucltop&amp;blast_rank=75&amp;RID=0RSS9YNU013","XM_026762387.1")</f>
        <v>XM_026762387.1</v>
      </c>
    </row>
    <row r="607" spans="1:7" x14ac:dyDescent="0.35">
      <c r="A607" s="4" t="s">
        <v>47</v>
      </c>
      <c r="B607" s="4">
        <v>149</v>
      </c>
      <c r="C607" s="4">
        <v>149</v>
      </c>
      <c r="D607" s="5">
        <v>0.7</v>
      </c>
      <c r="E607" s="6">
        <v>9.9999999999999993E-35</v>
      </c>
      <c r="F607" s="4">
        <v>28.78</v>
      </c>
      <c r="G607" s="4" t="str">
        <f>HYPERLINK("https://www.ncbi.nlm.nih.gov/nucleotide/XM_032089869.1?report=genbank&amp;log$=nucltop&amp;blast_rank=76&amp;RID=0RSS9YNU013","XM_032089869.1")</f>
        <v>XM_032089869.1</v>
      </c>
    </row>
    <row r="608" spans="1:7" x14ac:dyDescent="0.35">
      <c r="A608" t="s">
        <v>98</v>
      </c>
      <c r="B608">
        <v>130</v>
      </c>
      <c r="C608">
        <v>233</v>
      </c>
      <c r="D608" s="2">
        <v>0.73</v>
      </c>
      <c r="E608" s="3">
        <v>7.9999999999999998E-28</v>
      </c>
      <c r="F608">
        <v>28.75</v>
      </c>
      <c r="G608" t="str">
        <f>HYPERLINK("https://www.ncbi.nlm.nih.gov/nucleotide/XM_026749516.1?report=genbank&amp;log$=nucltop&amp;blast_rank=77&amp;RID=0RSS9YNU013","XM_026749516.1")</f>
        <v>XM_026749516.1</v>
      </c>
    </row>
    <row r="609" spans="1:7" x14ac:dyDescent="0.35">
      <c r="A609" s="4" t="s">
        <v>66</v>
      </c>
      <c r="B609" s="4">
        <v>153</v>
      </c>
      <c r="C609" s="4">
        <v>153</v>
      </c>
      <c r="D609" s="5">
        <v>0.71</v>
      </c>
      <c r="E609" s="6">
        <v>1.9999999999999999E-36</v>
      </c>
      <c r="F609" s="4">
        <v>28.74</v>
      </c>
      <c r="G609" s="4" t="str">
        <f>HYPERLINK("https://www.ncbi.nlm.nih.gov/nucleotide/XM_035498118.1?report=genbank&amp;log$=nucltop&amp;blast_rank=78&amp;RID=0RSS9YNU013","XM_035498118.1")</f>
        <v>XM_035498118.1</v>
      </c>
    </row>
    <row r="610" spans="1:7" x14ac:dyDescent="0.35">
      <c r="A610" t="s">
        <v>491</v>
      </c>
      <c r="B610">
        <v>152</v>
      </c>
      <c r="C610">
        <v>152</v>
      </c>
      <c r="D610" s="2">
        <v>0.7</v>
      </c>
      <c r="E610" s="3">
        <v>5E-36</v>
      </c>
      <c r="F610">
        <v>28.5</v>
      </c>
      <c r="G610" t="str">
        <f>HYPERLINK("https://www.ncbi.nlm.nih.gov/nucleotide/XM_039068458.1?report=genbank&amp;log$=nucltop&amp;blast_rank=79&amp;RID=0RSS9YNU013","XM_039068458.1")</f>
        <v>XM_039068458.1</v>
      </c>
    </row>
    <row r="611" spans="1:7" x14ac:dyDescent="0.35">
      <c r="A611" t="s">
        <v>69</v>
      </c>
      <c r="B611">
        <v>144</v>
      </c>
      <c r="C611">
        <v>144</v>
      </c>
      <c r="D611" s="2">
        <v>0.71</v>
      </c>
      <c r="E611" s="3">
        <v>2.0000000000000001E-33</v>
      </c>
      <c r="F611">
        <v>28.44</v>
      </c>
      <c r="G611" t="str">
        <f>HYPERLINK("https://www.ncbi.nlm.nih.gov/nucleotide/XM_001401884.2?report=genbank&amp;log$=nucltop&amp;blast_rank=80&amp;RID=0RSS9YNU013","XM_001401884.2")</f>
        <v>XM_001401884.2</v>
      </c>
    </row>
    <row r="612" spans="1:7" x14ac:dyDescent="0.35">
      <c r="A612" t="s">
        <v>72</v>
      </c>
      <c r="B612">
        <v>144</v>
      </c>
      <c r="C612">
        <v>144</v>
      </c>
      <c r="D612" s="2">
        <v>0.71</v>
      </c>
      <c r="E612" s="3">
        <v>5.0000000000000003E-33</v>
      </c>
      <c r="F612">
        <v>28.44</v>
      </c>
      <c r="G612" t="str">
        <f>HYPERLINK("https://www.ncbi.nlm.nih.gov/nucleotide/XM_025601684.1?report=genbank&amp;log$=nucltop&amp;blast_rank=81&amp;RID=0RSS9YNU013","XM_025601684.1")</f>
        <v>XM_025601684.1</v>
      </c>
    </row>
    <row r="613" spans="1:7" x14ac:dyDescent="0.35">
      <c r="A613" t="s">
        <v>86</v>
      </c>
      <c r="B613">
        <v>130</v>
      </c>
      <c r="C613">
        <v>130</v>
      </c>
      <c r="D613" s="2">
        <v>0.56999999999999995</v>
      </c>
      <c r="E613" s="3">
        <v>1E-27</v>
      </c>
      <c r="F613">
        <v>28.29</v>
      </c>
      <c r="G613" t="str">
        <f>HYPERLINK("https://www.ncbi.nlm.nih.gov/nucleotide/AM920428.1?report=genbank&amp;log$=nucltop&amp;blast_rank=82&amp;RID=0RSS9YNU013","AM920428.1")</f>
        <v>AM920428.1</v>
      </c>
    </row>
    <row r="614" spans="1:7" x14ac:dyDescent="0.35">
      <c r="A614" t="s">
        <v>40</v>
      </c>
      <c r="B614">
        <v>159</v>
      </c>
      <c r="C614">
        <v>159</v>
      </c>
      <c r="D614" s="2">
        <v>0.75</v>
      </c>
      <c r="E614" s="3">
        <v>3.9999999999999998E-38</v>
      </c>
      <c r="F614">
        <v>27.87</v>
      </c>
      <c r="G614" t="str">
        <f>HYPERLINK("https://www.ncbi.nlm.nih.gov/nucleotide/XM_022531473.1?report=genbank&amp;log$=nucltop&amp;blast_rank=83&amp;RID=0RSS9YNU013","XM_022531473.1")</f>
        <v>XM_022531473.1</v>
      </c>
    </row>
    <row r="615" spans="1:7" x14ac:dyDescent="0.35">
      <c r="A615" t="s">
        <v>90</v>
      </c>
      <c r="B615">
        <v>159</v>
      </c>
      <c r="C615">
        <v>159</v>
      </c>
      <c r="D615" s="2">
        <v>0.71</v>
      </c>
      <c r="E615" s="3">
        <v>1.0000000000000001E-37</v>
      </c>
      <c r="F615">
        <v>27.84</v>
      </c>
      <c r="G615" t="str">
        <f>HYPERLINK("https://www.ncbi.nlm.nih.gov/nucleotide/XM_025683366.1?report=genbank&amp;log$=nucltop&amp;blast_rank=84&amp;RID=0RSS9YNU013","XM_025683366.1")</f>
        <v>XM_025683366.1</v>
      </c>
    </row>
    <row r="616" spans="1:7" x14ac:dyDescent="0.35">
      <c r="A616" s="4" t="s">
        <v>50</v>
      </c>
      <c r="B616" s="4">
        <v>157</v>
      </c>
      <c r="C616" s="4">
        <v>157</v>
      </c>
      <c r="D616" s="5">
        <v>0.73</v>
      </c>
      <c r="E616" s="6">
        <v>1.0000000000000001E-37</v>
      </c>
      <c r="F616" s="4">
        <v>27.82</v>
      </c>
      <c r="G616" s="4" t="str">
        <f>HYPERLINK("https://www.ncbi.nlm.nih.gov/nucleotide/XM_032058508.1?report=genbank&amp;log$=nucltop&amp;blast_rank=85&amp;RID=0RSS9YNU013","XM_032058508.1")</f>
        <v>XM_032058508.1</v>
      </c>
    </row>
    <row r="617" spans="1:7" x14ac:dyDescent="0.35">
      <c r="A617" s="4" t="s">
        <v>55</v>
      </c>
      <c r="B617" s="4">
        <v>155</v>
      </c>
      <c r="C617" s="4">
        <v>155</v>
      </c>
      <c r="D617" s="5">
        <v>0.73</v>
      </c>
      <c r="E617" s="6">
        <v>8.0000000000000005E-37</v>
      </c>
      <c r="F617" s="4">
        <v>27.8</v>
      </c>
      <c r="G617" s="4" t="str">
        <f>HYPERLINK("https://www.ncbi.nlm.nih.gov/nucleotide/XM_032074407.1?report=genbank&amp;log$=nucltop&amp;blast_rank=86&amp;RID=0RSS9YNU013","XM_032074407.1")</f>
        <v>XM_032074407.1</v>
      </c>
    </row>
    <row r="618" spans="1:7" x14ac:dyDescent="0.35">
      <c r="A618" t="s">
        <v>68</v>
      </c>
      <c r="B618">
        <v>143</v>
      </c>
      <c r="C618">
        <v>143</v>
      </c>
      <c r="D618" s="2">
        <v>0.62</v>
      </c>
      <c r="E618" s="3">
        <v>9.0000000000000008E-34</v>
      </c>
      <c r="F618">
        <v>27.56</v>
      </c>
      <c r="G618" t="str">
        <f>HYPERLINK("https://www.ncbi.nlm.nih.gov/nucleotide/XM_001262908.1?report=genbank&amp;log$=nucltop&amp;blast_rank=87&amp;RID=0RSS9YNU013","XM_001262908.1")</f>
        <v>XM_001262908.1</v>
      </c>
    </row>
    <row r="619" spans="1:7" x14ac:dyDescent="0.35">
      <c r="A619" t="s">
        <v>97</v>
      </c>
      <c r="B619">
        <v>141</v>
      </c>
      <c r="C619">
        <v>141</v>
      </c>
      <c r="D619" s="2">
        <v>0.68</v>
      </c>
      <c r="E619" s="3">
        <v>6.0000000000000001E-32</v>
      </c>
      <c r="F619">
        <v>27.47</v>
      </c>
      <c r="G619" t="str">
        <f>HYPERLINK("https://www.ncbi.nlm.nih.gov/nucleotide/XM_035484606.1?report=genbank&amp;log$=nucltop&amp;blast_rank=88&amp;RID=0RSS9YNU013","XM_035484606.1")</f>
        <v>XM_035484606.1</v>
      </c>
    </row>
    <row r="620" spans="1:7" x14ac:dyDescent="0.35">
      <c r="A620" t="s">
        <v>78</v>
      </c>
      <c r="B620">
        <v>125</v>
      </c>
      <c r="C620">
        <v>125</v>
      </c>
      <c r="D620" s="2">
        <v>0.7</v>
      </c>
      <c r="E620" s="3">
        <v>1E-27</v>
      </c>
      <c r="F620">
        <v>27.45</v>
      </c>
      <c r="G620" t="str">
        <f>HYPERLINK("https://www.ncbi.nlm.nih.gov/nucleotide/XM_001262909.1?report=genbank&amp;log$=nucltop&amp;blast_rank=89&amp;RID=0RSS9YNU013","XM_001262909.1")</f>
        <v>XM_001262909.1</v>
      </c>
    </row>
    <row r="621" spans="1:7" x14ac:dyDescent="0.35">
      <c r="A621" t="s">
        <v>77</v>
      </c>
      <c r="B621">
        <v>128</v>
      </c>
      <c r="C621">
        <v>128</v>
      </c>
      <c r="D621" s="2">
        <v>0.66</v>
      </c>
      <c r="E621" s="3">
        <v>4.0000000000000002E-27</v>
      </c>
      <c r="F621">
        <v>27.43</v>
      </c>
      <c r="G621" t="str">
        <f>HYPERLINK("https://www.ncbi.nlm.nih.gov/nucleotide/XM_025680603.1?report=genbank&amp;log$=nucltop&amp;blast_rank=90&amp;RID=0RSS9YNU013","XM_025680603.1")</f>
        <v>XM_025680603.1</v>
      </c>
    </row>
    <row r="622" spans="1:7" x14ac:dyDescent="0.35">
      <c r="A622" t="s">
        <v>976</v>
      </c>
      <c r="B622">
        <v>129</v>
      </c>
      <c r="C622">
        <v>129</v>
      </c>
      <c r="D622" s="2">
        <v>0.7</v>
      </c>
      <c r="E622" s="3">
        <v>5.0000000000000002E-27</v>
      </c>
      <c r="F622">
        <v>27.36</v>
      </c>
      <c r="G622" t="str">
        <f>HYPERLINK("https://www.ncbi.nlm.nih.gov/nucleotide/CP033735.1?report=genbank&amp;log$=nucltop&amp;blast_rank=91&amp;RID=0RSS9YNU013","CP033735.1")</f>
        <v>CP033735.1</v>
      </c>
    </row>
    <row r="623" spans="1:7" x14ac:dyDescent="0.35">
      <c r="A623" t="s">
        <v>977</v>
      </c>
      <c r="B623">
        <v>129</v>
      </c>
      <c r="C623">
        <v>129</v>
      </c>
      <c r="D623" s="2">
        <v>0.7</v>
      </c>
      <c r="E623" s="3">
        <v>5.0000000000000002E-27</v>
      </c>
      <c r="F623">
        <v>27.36</v>
      </c>
      <c r="G623" t="str">
        <f>HYPERLINK("https://www.ncbi.nlm.nih.gov/nucleotide/LT963440.1?report=genbank&amp;log$=nucltop&amp;blast_rank=92&amp;RID=0RSS9YNU013","LT963440.1")</f>
        <v>LT963440.1</v>
      </c>
    </row>
    <row r="624" spans="1:7" x14ac:dyDescent="0.35">
      <c r="A624" t="s">
        <v>105</v>
      </c>
      <c r="B624">
        <v>133</v>
      </c>
      <c r="C624">
        <v>133</v>
      </c>
      <c r="D624" s="2">
        <v>0.68</v>
      </c>
      <c r="E624" s="3">
        <v>7.9999999999999995E-29</v>
      </c>
      <c r="F624">
        <v>26.75</v>
      </c>
      <c r="G624" t="str">
        <f>HYPERLINK("https://www.ncbi.nlm.nih.gov/nucleotide/XM_033555780.1?report=genbank&amp;log$=nucltop&amp;blast_rank=93&amp;RID=0RSS9YNU013","XM_033555780.1")</f>
        <v>XM_033555780.1</v>
      </c>
    </row>
    <row r="625" spans="1:7" x14ac:dyDescent="0.35">
      <c r="A625" t="s">
        <v>978</v>
      </c>
      <c r="B625">
        <v>125</v>
      </c>
      <c r="C625">
        <v>125</v>
      </c>
      <c r="D625" s="2">
        <v>0.68</v>
      </c>
      <c r="E625" s="3">
        <v>1E-26</v>
      </c>
      <c r="F625">
        <v>26.55</v>
      </c>
      <c r="G625" t="str">
        <f>HYPERLINK("https://www.ncbi.nlm.nih.gov/nucleotide/XM_024844766.1?report=genbank&amp;log$=nucltop&amp;blast_rank=94&amp;RID=0RSS9YNU013","XM_024844766.1")</f>
        <v>XM_024844766.1</v>
      </c>
    </row>
    <row r="626" spans="1:7" x14ac:dyDescent="0.35">
      <c r="A626" t="s">
        <v>71</v>
      </c>
      <c r="B626">
        <v>127</v>
      </c>
      <c r="C626">
        <v>127</v>
      </c>
      <c r="D626" s="2">
        <v>0.7</v>
      </c>
      <c r="E626" s="3">
        <v>7.0000000000000003E-27</v>
      </c>
      <c r="F626">
        <v>26.53</v>
      </c>
      <c r="G626" t="str">
        <f>HYPERLINK("https://www.ncbi.nlm.nih.gov/nucleotide/XM_025658697.1?report=genbank&amp;log$=nucltop&amp;blast_rank=95&amp;RID=0RSS9YNU013","XM_025658697.1")</f>
        <v>XM_025658697.1</v>
      </c>
    </row>
    <row r="627" spans="1:7" x14ac:dyDescent="0.35">
      <c r="A627" t="s">
        <v>84</v>
      </c>
      <c r="B627">
        <v>140</v>
      </c>
      <c r="C627">
        <v>140</v>
      </c>
      <c r="D627" s="2">
        <v>0.7</v>
      </c>
      <c r="E627" s="3">
        <v>2.0000000000000002E-31</v>
      </c>
      <c r="F627">
        <v>26.51</v>
      </c>
      <c r="G627" t="str">
        <f>HYPERLINK("https://www.ncbi.nlm.nih.gov/nucleotide/XM_023599633.1?report=genbank&amp;log$=nucltop&amp;blast_rank=96&amp;RID=0RSS9YNU013","XM_023599633.1")</f>
        <v>XM_023599633.1</v>
      </c>
    </row>
    <row r="628" spans="1:7" x14ac:dyDescent="0.35">
      <c r="A628" s="4" t="s">
        <v>87</v>
      </c>
      <c r="B628" s="4">
        <v>130</v>
      </c>
      <c r="C628" s="4">
        <v>130</v>
      </c>
      <c r="D628" s="5">
        <v>0.68</v>
      </c>
      <c r="E628" s="6">
        <v>7.9999999999999998E-28</v>
      </c>
      <c r="F628" s="4">
        <v>26.21</v>
      </c>
      <c r="G628" s="4" t="str">
        <f>HYPERLINK("https://www.ncbi.nlm.nih.gov/nucleotide/XM_007819030.2?report=genbank&amp;log$=nucltop&amp;blast_rank=97&amp;RID=0RSS9YNU013","XM_007819030.2")</f>
        <v>XM_007819030.2</v>
      </c>
    </row>
    <row r="629" spans="1:7" x14ac:dyDescent="0.35">
      <c r="A629" t="s">
        <v>96</v>
      </c>
      <c r="B629">
        <v>123</v>
      </c>
      <c r="C629">
        <v>123</v>
      </c>
      <c r="D629" s="2">
        <v>0.71</v>
      </c>
      <c r="E629" s="3">
        <v>2.0000000000000001E-25</v>
      </c>
      <c r="F629">
        <v>25.59</v>
      </c>
      <c r="G629" t="str">
        <f>HYPERLINK("https://www.ncbi.nlm.nih.gov/nucleotide/XM_026772820.1?report=genbank&amp;log$=nucltop&amp;blast_rank=98&amp;RID=0RSS9YNU013","XM_026772820.1")</f>
        <v>XM_026772820.1</v>
      </c>
    </row>
    <row r="630" spans="1:7" x14ac:dyDescent="0.35">
      <c r="A630" s="4" t="s">
        <v>99</v>
      </c>
      <c r="B630" s="4">
        <v>128</v>
      </c>
      <c r="C630" s="4">
        <v>128</v>
      </c>
      <c r="D630" s="5">
        <v>0.68</v>
      </c>
      <c r="E630" s="6">
        <v>4.0000000000000002E-27</v>
      </c>
      <c r="F630" s="4">
        <v>25.36</v>
      </c>
      <c r="G630" s="4" t="str">
        <f>HYPERLINK("https://www.ncbi.nlm.nih.gov/nucleotide/XM_014687487.1?report=genbank&amp;log$=nucltop&amp;blast_rank=99&amp;RID=0RSS9YNU013","XM_014687487.1")</f>
        <v>XM_014687487.1</v>
      </c>
    </row>
    <row r="631" spans="1:7" x14ac:dyDescent="0.35">
      <c r="A631" t="s">
        <v>64</v>
      </c>
      <c r="B631">
        <v>122</v>
      </c>
      <c r="C631">
        <v>122</v>
      </c>
      <c r="D631" s="2">
        <v>0.76</v>
      </c>
      <c r="E631" s="3">
        <v>2.9999999999999998E-25</v>
      </c>
      <c r="F631">
        <v>24.84</v>
      </c>
      <c r="G631" t="str">
        <f>HYPERLINK("https://www.ncbi.nlm.nih.gov/nucleotide/XM_025524425.1?report=genbank&amp;log$=nucltop&amp;blast_rank=100&amp;RID=0RSS9YNU013","XM_025524425.1")</f>
        <v>XM_025524425.1</v>
      </c>
    </row>
    <row r="632" spans="1:7" x14ac:dyDescent="0.35">
      <c r="A632" s="1" t="s">
        <v>979</v>
      </c>
    </row>
    <row r="633" spans="1:7" x14ac:dyDescent="0.35">
      <c r="A633" s="1" t="s">
        <v>2</v>
      </c>
      <c r="B633" s="1" t="s">
        <v>3</v>
      </c>
      <c r="C633" s="1" t="s">
        <v>4</v>
      </c>
      <c r="D633" s="1" t="s">
        <v>5</v>
      </c>
      <c r="E633" s="1" t="s">
        <v>6</v>
      </c>
      <c r="F633" s="1" t="s">
        <v>7</v>
      </c>
      <c r="G633" s="1" t="s">
        <v>8</v>
      </c>
    </row>
    <row r="634" spans="1:7" x14ac:dyDescent="0.35">
      <c r="A634" t="s">
        <v>37</v>
      </c>
      <c r="B634">
        <v>213</v>
      </c>
      <c r="C634">
        <v>789</v>
      </c>
      <c r="D634" s="2">
        <v>0.56999999999999995</v>
      </c>
      <c r="E634" s="3">
        <v>9.9999999999999999E-56</v>
      </c>
      <c r="F634">
        <v>95.19</v>
      </c>
      <c r="G634" t="str">
        <f>HYPERLINK("https://www.ncbi.nlm.nih.gov/nucleotide/LR732085.1?report=genbank&amp;log$=nucltop&amp;blast_rank=1&amp;RID=0RSTV4YX016","LR732085.1")</f>
        <v>LR732085.1</v>
      </c>
    </row>
    <row r="635" spans="1:7" x14ac:dyDescent="0.35">
      <c r="A635" t="s">
        <v>388</v>
      </c>
      <c r="B635">
        <v>278</v>
      </c>
      <c r="C635">
        <v>278</v>
      </c>
      <c r="D635" s="2">
        <v>0.44</v>
      </c>
      <c r="E635" s="3">
        <v>2.9999999999999999E-82</v>
      </c>
      <c r="F635">
        <v>60.27</v>
      </c>
      <c r="G635" t="str">
        <f>HYPERLINK("https://www.ncbi.nlm.nih.gov/nucleotide/XM_003026031.1?report=genbank&amp;log$=nucltop&amp;blast_rank=2&amp;RID=0RSTV4YX016","XM_003026031.1")</f>
        <v>XM_003026031.1</v>
      </c>
    </row>
    <row r="636" spans="1:7" x14ac:dyDescent="0.35">
      <c r="A636" t="s">
        <v>391</v>
      </c>
      <c r="B636">
        <v>254</v>
      </c>
      <c r="C636">
        <v>254</v>
      </c>
      <c r="D636" s="2">
        <v>0.44</v>
      </c>
      <c r="E636" s="3">
        <v>6.0000000000000003E-77</v>
      </c>
      <c r="F636">
        <v>57.48</v>
      </c>
      <c r="G636" t="str">
        <f>HYPERLINK("https://www.ncbi.nlm.nih.gov/nucleotide/XM_024485421.1?report=genbank&amp;log$=nucltop&amp;blast_rank=3&amp;RID=0RSTV4YX016","XM_024485421.1")</f>
        <v>XM_024485421.1</v>
      </c>
    </row>
    <row r="637" spans="1:7" x14ac:dyDescent="0.35">
      <c r="A637" t="s">
        <v>380</v>
      </c>
      <c r="B637">
        <v>140</v>
      </c>
      <c r="C637">
        <v>243</v>
      </c>
      <c r="D637" s="2">
        <v>0.35</v>
      </c>
      <c r="E637" s="3">
        <v>2.0000000000000002E-31</v>
      </c>
      <c r="F637">
        <v>57.27</v>
      </c>
      <c r="G637" t="str">
        <f>HYPERLINK("https://www.ncbi.nlm.nih.gov/nucleotide/AC277528.1?report=genbank&amp;log$=nucltop&amp;blast_rank=4&amp;RID=0RSTV4YX016","AC277528.1")</f>
        <v>AC277528.1</v>
      </c>
    </row>
    <row r="638" spans="1:7" x14ac:dyDescent="0.35">
      <c r="A638" s="4" t="s">
        <v>390</v>
      </c>
      <c r="B638" s="4">
        <v>251</v>
      </c>
      <c r="C638" s="4">
        <v>251</v>
      </c>
      <c r="D638" s="5">
        <v>0.44</v>
      </c>
      <c r="E638" s="6">
        <v>2.9999999999999999E-75</v>
      </c>
      <c r="F638" s="4">
        <v>57.21</v>
      </c>
      <c r="G638" s="4" t="str">
        <f>HYPERLINK("https://www.ncbi.nlm.nih.gov/nucleotide/LR725265.1?report=genbank&amp;log$=nucltop&amp;blast_rank=5&amp;RID=0RSTV4YX016","LR725265.1")</f>
        <v>LR725265.1</v>
      </c>
    </row>
    <row r="639" spans="1:7" x14ac:dyDescent="0.35">
      <c r="A639" s="4" t="s">
        <v>392</v>
      </c>
      <c r="B639" s="4">
        <v>253</v>
      </c>
      <c r="C639" s="4">
        <v>253</v>
      </c>
      <c r="D639" s="5">
        <v>0.44</v>
      </c>
      <c r="E639" s="6">
        <v>3.0000000000000002E-77</v>
      </c>
      <c r="F639" s="4">
        <v>56.74</v>
      </c>
      <c r="G639" s="4" t="str">
        <f>HYPERLINK("https://www.ncbi.nlm.nih.gov/nucleotide/XM_007363371.1?report=genbank&amp;log$=nucltop&amp;blast_rank=6&amp;RID=0RSTV4YX016","XM_007363371.1")</f>
        <v>XM_007363371.1</v>
      </c>
    </row>
    <row r="640" spans="1:7" x14ac:dyDescent="0.35">
      <c r="A640" t="s">
        <v>389</v>
      </c>
      <c r="B640">
        <v>254</v>
      </c>
      <c r="C640">
        <v>254</v>
      </c>
      <c r="D640" s="2">
        <v>0.44</v>
      </c>
      <c r="E640" s="3">
        <v>3.9999999999999998E-74</v>
      </c>
      <c r="F640">
        <v>55.61</v>
      </c>
      <c r="G640" t="str">
        <f>HYPERLINK("https://www.ncbi.nlm.nih.gov/nucleotide/XM_001835018.2?report=genbank&amp;log$=nucltop&amp;blast_rank=7&amp;RID=0RSTV4YX016","XM_001835018.2")</f>
        <v>XM_001835018.2</v>
      </c>
    </row>
    <row r="641" spans="1:7" x14ac:dyDescent="0.35">
      <c r="A641" s="4" t="s">
        <v>394</v>
      </c>
      <c r="B641" s="4">
        <v>254</v>
      </c>
      <c r="C641" s="4">
        <v>254</v>
      </c>
      <c r="D641" s="5">
        <v>0.44</v>
      </c>
      <c r="E641" s="6">
        <v>4E-78</v>
      </c>
      <c r="F641" s="4">
        <v>55.3</v>
      </c>
      <c r="G641" s="4" t="str">
        <f>HYPERLINK("https://www.ncbi.nlm.nih.gov/nucleotide/XM_007872033.1?report=genbank&amp;log$=nucltop&amp;blast_rank=8&amp;RID=0RSTV4YX016","XM_007872033.1")</f>
        <v>XM_007872033.1</v>
      </c>
    </row>
    <row r="642" spans="1:7" x14ac:dyDescent="0.35">
      <c r="A642" s="4" t="s">
        <v>395</v>
      </c>
      <c r="B642" s="4">
        <v>252</v>
      </c>
      <c r="C642" s="4">
        <v>252</v>
      </c>
      <c r="D642" s="5">
        <v>0.44</v>
      </c>
      <c r="E642" s="6">
        <v>3.0000000000000002E-77</v>
      </c>
      <c r="F642" s="4">
        <v>54.38</v>
      </c>
      <c r="G642" s="4" t="str">
        <f>HYPERLINK("https://www.ncbi.nlm.nih.gov/nucleotide/XM_008043200.1?report=genbank&amp;log$=nucltop&amp;blast_rank=9&amp;RID=0RSTV4YX016","XM_008043200.1")</f>
        <v>XM_008043200.1</v>
      </c>
    </row>
    <row r="643" spans="1:7" x14ac:dyDescent="0.35">
      <c r="A643" t="s">
        <v>21</v>
      </c>
      <c r="B643">
        <v>239</v>
      </c>
      <c r="C643">
        <v>239</v>
      </c>
      <c r="D643" s="2">
        <v>0.44</v>
      </c>
      <c r="E643" s="3">
        <v>4.9999999999999996E-72</v>
      </c>
      <c r="F643">
        <v>53.95</v>
      </c>
      <c r="G643" t="str">
        <f>HYPERLINK("https://www.ncbi.nlm.nih.gov/nucleotide/XM_009554316.1?report=genbank&amp;log$=nucltop&amp;blast_rank=10&amp;RID=0RSTV4YX016","XM_009554316.1")</f>
        <v>XM_009554316.1</v>
      </c>
    </row>
    <row r="644" spans="1:7" x14ac:dyDescent="0.35">
      <c r="A644" s="4" t="s">
        <v>393</v>
      </c>
      <c r="B644" s="4">
        <v>248</v>
      </c>
      <c r="C644" s="4">
        <v>248</v>
      </c>
      <c r="D644" s="5">
        <v>0.44</v>
      </c>
      <c r="E644" s="6">
        <v>9.0000000000000004E-73</v>
      </c>
      <c r="F644" s="4">
        <v>53.46</v>
      </c>
      <c r="G644" s="4" t="str">
        <f>HYPERLINK("https://www.ncbi.nlm.nih.gov/nucleotide/XM_001879532.1?report=genbank&amp;log$=nucltop&amp;blast_rank=11&amp;RID=0RSTV4YX016","XM_001879532.1")</f>
        <v>XM_001879532.1</v>
      </c>
    </row>
    <row r="645" spans="1:7" x14ac:dyDescent="0.35">
      <c r="A645" t="s">
        <v>386</v>
      </c>
      <c r="B645">
        <v>119</v>
      </c>
      <c r="C645">
        <v>119</v>
      </c>
      <c r="D645" s="2">
        <v>0.19</v>
      </c>
      <c r="E645" s="3">
        <v>5.0000000000000002E-27</v>
      </c>
      <c r="F645">
        <v>53.04</v>
      </c>
      <c r="G645" t="str">
        <f>HYPERLINK("https://www.ncbi.nlm.nih.gov/nucleotide/LC002234.1?report=genbank&amp;log$=nucltop&amp;blast_rank=12&amp;RID=0RSTV4YX016","LC002234.1")</f>
        <v>LC002234.1</v>
      </c>
    </row>
    <row r="646" spans="1:7" x14ac:dyDescent="0.35">
      <c r="A646" t="s">
        <v>387</v>
      </c>
      <c r="B646">
        <v>119</v>
      </c>
      <c r="C646">
        <v>119</v>
      </c>
      <c r="D646" s="2">
        <v>0.19</v>
      </c>
      <c r="E646" s="3">
        <v>7.0000000000000003E-27</v>
      </c>
      <c r="F646">
        <v>53.04</v>
      </c>
      <c r="G646" t="str">
        <f>HYPERLINK("https://www.ncbi.nlm.nih.gov/nucleotide/LC002235.1?report=genbank&amp;log$=nucltop&amp;blast_rank=13&amp;RID=0RSTV4YX016","LC002235.1")</f>
        <v>LC002235.1</v>
      </c>
    </row>
    <row r="647" spans="1:7" x14ac:dyDescent="0.35">
      <c r="A647" t="s">
        <v>396</v>
      </c>
      <c r="B647">
        <v>242</v>
      </c>
      <c r="C647">
        <v>242</v>
      </c>
      <c r="D647" s="2">
        <v>0.44</v>
      </c>
      <c r="E647" s="3">
        <v>8E-70</v>
      </c>
      <c r="F647">
        <v>52.8</v>
      </c>
      <c r="G647" t="str">
        <f>HYPERLINK("https://www.ncbi.nlm.nih.gov/nucleotide/XM_027759476.1?report=genbank&amp;log$=nucltop&amp;blast_rank=14&amp;RID=0RSTV4YX016","XM_027759476.1")</f>
        <v>XM_027759476.1</v>
      </c>
    </row>
    <row r="648" spans="1:7" x14ac:dyDescent="0.35">
      <c r="A648" t="s">
        <v>398</v>
      </c>
      <c r="B648">
        <v>246</v>
      </c>
      <c r="C648">
        <v>303</v>
      </c>
      <c r="D648" s="2">
        <v>0.59</v>
      </c>
      <c r="E648" s="3">
        <v>9.9999999999999992E-72</v>
      </c>
      <c r="F648">
        <v>52.23</v>
      </c>
      <c r="G648" t="str">
        <f>HYPERLINK("https://www.ncbi.nlm.nih.gov/nucleotide/XM_007306844.1?report=genbank&amp;log$=nucltop&amp;blast_rank=15&amp;RID=0RSTV4YX016","XM_007306844.1")</f>
        <v>XM_007306844.1</v>
      </c>
    </row>
    <row r="649" spans="1:7" x14ac:dyDescent="0.35">
      <c r="A649" t="s">
        <v>397</v>
      </c>
      <c r="B649">
        <v>253</v>
      </c>
      <c r="C649">
        <v>253</v>
      </c>
      <c r="D649" s="2">
        <v>0.51</v>
      </c>
      <c r="E649" s="3">
        <v>6.9999999999999999E-76</v>
      </c>
      <c r="F649">
        <v>50.6</v>
      </c>
      <c r="G649" t="str">
        <f>HYPERLINK("https://www.ncbi.nlm.nih.gov/nucleotide/XM_007397903.1?report=genbank&amp;log$=nucltop&amp;blast_rank=16&amp;RID=0RSTV4YX016","XM_007397903.1")</f>
        <v>XM_007397903.1</v>
      </c>
    </row>
    <row r="650" spans="1:7" x14ac:dyDescent="0.35">
      <c r="A650" s="4" t="s">
        <v>399</v>
      </c>
      <c r="B650" s="4">
        <v>242</v>
      </c>
      <c r="C650" s="4">
        <v>242</v>
      </c>
      <c r="D650" s="5">
        <v>0.44</v>
      </c>
      <c r="E650" s="6">
        <v>7E-72</v>
      </c>
      <c r="F650" s="4">
        <v>50.47</v>
      </c>
      <c r="G650" s="4" t="str">
        <f>HYPERLINK("https://www.ncbi.nlm.nih.gov/nucleotide/XM_007385455.1?report=genbank&amp;log$=nucltop&amp;blast_rank=17&amp;RID=0RSTV4YX016","XM_007385455.1")</f>
        <v>XM_007385455.1</v>
      </c>
    </row>
    <row r="651" spans="1:7" x14ac:dyDescent="0.35">
      <c r="A651" s="4" t="s">
        <v>404</v>
      </c>
      <c r="B651" s="4">
        <v>207</v>
      </c>
      <c r="C651" s="4">
        <v>207</v>
      </c>
      <c r="D651" s="5">
        <v>0.39</v>
      </c>
      <c r="E651" s="6">
        <v>3.9999999999999998E-57</v>
      </c>
      <c r="F651" s="4">
        <v>50.26</v>
      </c>
      <c r="G651" s="4" t="str">
        <f>HYPERLINK("https://www.ncbi.nlm.nih.gov/nucleotide/XM_036771658.1?report=genbank&amp;log$=nucltop&amp;blast_rank=18&amp;RID=0RSTV4YX016","XM_036771658.1")</f>
        <v>XM_036771658.1</v>
      </c>
    </row>
    <row r="652" spans="1:7" x14ac:dyDescent="0.35">
      <c r="A652" s="4" t="s">
        <v>400</v>
      </c>
      <c r="B652" s="4">
        <v>219</v>
      </c>
      <c r="C652" s="4">
        <v>219</v>
      </c>
      <c r="D652" s="5">
        <v>0.44</v>
      </c>
      <c r="E652" s="6">
        <v>1.9999999999999999E-60</v>
      </c>
      <c r="F652" s="4">
        <v>50.23</v>
      </c>
      <c r="G652" s="4" t="str">
        <f>HYPERLINK("https://www.ncbi.nlm.nih.gov/nucleotide/XM_007262375.1?report=genbank&amp;log$=nucltop&amp;blast_rank=19&amp;RID=0RSTV4YX016","XM_007262375.1")</f>
        <v>XM_007262375.1</v>
      </c>
    </row>
    <row r="653" spans="1:7" x14ac:dyDescent="0.35">
      <c r="A653" t="s">
        <v>403</v>
      </c>
      <c r="B653">
        <v>255</v>
      </c>
      <c r="C653">
        <v>314</v>
      </c>
      <c r="D653" s="2">
        <v>0.66</v>
      </c>
      <c r="E653" s="3">
        <v>4.9999999999999998E-76</v>
      </c>
      <c r="F653">
        <v>49.2</v>
      </c>
      <c r="G653" t="str">
        <f>HYPERLINK("https://www.ncbi.nlm.nih.gov/nucleotide/XM_037362770.1?report=genbank&amp;log$=nucltop&amp;blast_rank=20&amp;RID=0RSTV4YX016","XM_037362770.1")</f>
        <v>XM_037362770.1</v>
      </c>
    </row>
    <row r="654" spans="1:7" x14ac:dyDescent="0.35">
      <c r="A654" t="s">
        <v>383</v>
      </c>
      <c r="B654">
        <v>149</v>
      </c>
      <c r="C654">
        <v>241</v>
      </c>
      <c r="D654" s="2">
        <v>0.36</v>
      </c>
      <c r="E654" s="3">
        <v>3.9999999999999997E-34</v>
      </c>
      <c r="F654">
        <v>48.91</v>
      </c>
      <c r="G654" t="str">
        <f>HYPERLINK("https://www.ncbi.nlm.nih.gov/nucleotide/CP015481.1?report=genbank&amp;log$=nucltop&amp;blast_rank=21&amp;RID=0RSTV4YX016","CP015481.1")</f>
        <v>CP015481.1</v>
      </c>
    </row>
    <row r="655" spans="1:7" x14ac:dyDescent="0.35">
      <c r="A655" t="s">
        <v>384</v>
      </c>
      <c r="B655">
        <v>147</v>
      </c>
      <c r="C655">
        <v>239</v>
      </c>
      <c r="D655" s="2">
        <v>0.36</v>
      </c>
      <c r="E655" s="3">
        <v>2.0000000000000001E-33</v>
      </c>
      <c r="F655">
        <v>48.91</v>
      </c>
      <c r="G655" t="str">
        <f>HYPERLINK("https://www.ncbi.nlm.nih.gov/nucleotide/AC253760.1?report=genbank&amp;log$=nucltop&amp;blast_rank=22&amp;RID=0RSTV4YX016","AC253760.1")</f>
        <v>AC253760.1</v>
      </c>
    </row>
    <row r="656" spans="1:7" x14ac:dyDescent="0.35">
      <c r="A656" t="s">
        <v>385</v>
      </c>
      <c r="B656">
        <v>147</v>
      </c>
      <c r="C656">
        <v>239</v>
      </c>
      <c r="D656" s="2">
        <v>0.36</v>
      </c>
      <c r="E656" s="3">
        <v>2.0000000000000001E-33</v>
      </c>
      <c r="F656">
        <v>48.91</v>
      </c>
      <c r="G656" t="str">
        <f>HYPERLINK("https://www.ncbi.nlm.nih.gov/nucleotide/CP015468.1?report=genbank&amp;log$=nucltop&amp;blast_rank=23&amp;RID=0RSTV4YX016","CP015468.1")</f>
        <v>CP015468.1</v>
      </c>
    </row>
    <row r="657" spans="1:7" x14ac:dyDescent="0.35">
      <c r="A657" t="s">
        <v>382</v>
      </c>
      <c r="B657">
        <v>147</v>
      </c>
      <c r="C657">
        <v>239</v>
      </c>
      <c r="D657" s="2">
        <v>0.36</v>
      </c>
      <c r="E657" s="3">
        <v>2.0000000000000001E-33</v>
      </c>
      <c r="F657">
        <v>48.91</v>
      </c>
      <c r="G657" t="str">
        <f>HYPERLINK("https://www.ncbi.nlm.nih.gov/nucleotide/CP039884.1?report=genbank&amp;log$=nucltop&amp;blast_rank=24&amp;RID=0RSTV4YX016","CP039884.1")</f>
        <v>CP039884.1</v>
      </c>
    </row>
    <row r="658" spans="1:7" x14ac:dyDescent="0.35">
      <c r="A658" t="s">
        <v>401</v>
      </c>
      <c r="B658">
        <v>228</v>
      </c>
      <c r="C658">
        <v>228</v>
      </c>
      <c r="D658" s="2">
        <v>0.44</v>
      </c>
      <c r="E658" s="3">
        <v>8.9999999999999995E-65</v>
      </c>
      <c r="F658">
        <v>48.85</v>
      </c>
      <c r="G658" t="str">
        <f>HYPERLINK("https://www.ncbi.nlm.nih.gov/nucleotide/XM_006455985.1?report=genbank&amp;log$=nucltop&amp;blast_rank=25&amp;RID=0RSTV4YX016","XM_006455985.1")</f>
        <v>XM_006455985.1</v>
      </c>
    </row>
    <row r="659" spans="1:7" x14ac:dyDescent="0.35">
      <c r="A659" t="s">
        <v>402</v>
      </c>
      <c r="B659">
        <v>228</v>
      </c>
      <c r="C659">
        <v>228</v>
      </c>
      <c r="D659" s="2">
        <v>0.44</v>
      </c>
      <c r="E659" s="3">
        <v>9.9999999999999997E-65</v>
      </c>
      <c r="F659">
        <v>48.85</v>
      </c>
      <c r="G659" t="str">
        <f>HYPERLINK("https://www.ncbi.nlm.nih.gov/nucleotide/XM_007331822.1?report=genbank&amp;log$=nucltop&amp;blast_rank=26&amp;RID=0RSTV4YX016","XM_007331822.1")</f>
        <v>XM_007331822.1</v>
      </c>
    </row>
    <row r="660" spans="1:7" x14ac:dyDescent="0.35">
      <c r="A660" t="s">
        <v>405</v>
      </c>
      <c r="B660">
        <v>224</v>
      </c>
      <c r="C660">
        <v>224</v>
      </c>
      <c r="D660" s="2">
        <v>0.44</v>
      </c>
      <c r="E660" s="3">
        <v>1E-59</v>
      </c>
      <c r="F660">
        <v>46.61</v>
      </c>
      <c r="G660" t="str">
        <f>HYPERLINK("https://www.ncbi.nlm.nih.gov/nucleotide/CP019382.1?report=genbank&amp;log$=nucltop&amp;blast_rank=27&amp;RID=0RSTV4YX016","CP019382.1")</f>
        <v>CP019382.1</v>
      </c>
    </row>
    <row r="661" spans="1:7" x14ac:dyDescent="0.35">
      <c r="A661" t="s">
        <v>414</v>
      </c>
      <c r="B661">
        <v>182</v>
      </c>
      <c r="C661">
        <v>182</v>
      </c>
      <c r="D661" s="2">
        <v>0.44</v>
      </c>
      <c r="E661" s="3">
        <v>4.9999999999999999E-48</v>
      </c>
      <c r="F661">
        <v>46.36</v>
      </c>
      <c r="G661" t="str">
        <f>HYPERLINK("https://www.ncbi.nlm.nih.gov/nucleotide/XM_025507480.1?report=genbank&amp;log$=nucltop&amp;blast_rank=28&amp;RID=0RSTV4YX016","XM_025507480.1")</f>
        <v>XM_025507480.1</v>
      </c>
    </row>
    <row r="662" spans="1:7" x14ac:dyDescent="0.35">
      <c r="A662" t="s">
        <v>126</v>
      </c>
      <c r="B662">
        <v>199</v>
      </c>
      <c r="C662">
        <v>199</v>
      </c>
      <c r="D662" s="2">
        <v>0.44</v>
      </c>
      <c r="E662" s="3">
        <v>3.0000000000000002E-53</v>
      </c>
      <c r="F662">
        <v>46.26</v>
      </c>
      <c r="G662" t="str">
        <f>HYPERLINK("https://www.ncbi.nlm.nih.gov/nucleotide/XM_007775763.1?report=genbank&amp;log$=nucltop&amp;blast_rank=29&amp;RID=0RSTV4YX016","XM_007775763.1")</f>
        <v>XM_007775763.1</v>
      </c>
    </row>
    <row r="663" spans="1:7" x14ac:dyDescent="0.35">
      <c r="A663" t="s">
        <v>430</v>
      </c>
      <c r="B663">
        <v>174</v>
      </c>
      <c r="C663">
        <v>174</v>
      </c>
      <c r="D663" s="2">
        <v>0.44</v>
      </c>
      <c r="E663" s="3">
        <v>9.0000000000000005E-43</v>
      </c>
      <c r="F663">
        <v>45.33</v>
      </c>
      <c r="G663" t="str">
        <f>HYPERLINK("https://www.ncbi.nlm.nih.gov/nucleotide/LT795063.1?report=genbank&amp;log$=nucltop&amp;blast_rank=30&amp;RID=0RSTV4YX016","LT795063.1")</f>
        <v>LT795063.1</v>
      </c>
    </row>
    <row r="664" spans="1:7" x14ac:dyDescent="0.35">
      <c r="A664" t="s">
        <v>429</v>
      </c>
      <c r="B664">
        <v>174</v>
      </c>
      <c r="C664">
        <v>174</v>
      </c>
      <c r="D664" s="2">
        <v>0.44</v>
      </c>
      <c r="E664" s="3">
        <v>1E-42</v>
      </c>
      <c r="F664">
        <v>45.33</v>
      </c>
      <c r="G664" t="str">
        <f>HYPERLINK("https://www.ncbi.nlm.nih.gov/nucleotide/FQ311431.1?report=genbank&amp;log$=nucltop&amp;blast_rank=31&amp;RID=0RSTV4YX016","FQ311431.1")</f>
        <v>FQ311431.1</v>
      </c>
    </row>
    <row r="665" spans="1:7" x14ac:dyDescent="0.35">
      <c r="A665" t="s">
        <v>406</v>
      </c>
      <c r="B665">
        <v>197</v>
      </c>
      <c r="C665">
        <v>197</v>
      </c>
      <c r="D665" s="2">
        <v>0.44</v>
      </c>
      <c r="E665" s="3">
        <v>1E-53</v>
      </c>
      <c r="F665">
        <v>45.07</v>
      </c>
      <c r="G665" t="str">
        <f>HYPERLINK("https://www.ncbi.nlm.nih.gov/nucleotide/XM_039056251.1?report=genbank&amp;log$=nucltop&amp;blast_rank=32&amp;RID=0RSTV4YX016","XM_039056251.1")</f>
        <v>XM_039056251.1</v>
      </c>
    </row>
    <row r="666" spans="1:7" x14ac:dyDescent="0.35">
      <c r="A666" s="4" t="s">
        <v>432</v>
      </c>
      <c r="B666" s="4">
        <v>188</v>
      </c>
      <c r="C666" s="4">
        <v>188</v>
      </c>
      <c r="D666" s="5">
        <v>0.44</v>
      </c>
      <c r="E666" s="6">
        <v>2E-50</v>
      </c>
      <c r="F666" s="4">
        <v>45.07</v>
      </c>
      <c r="G666" s="4" t="str">
        <f>HYPERLINK("https://www.ncbi.nlm.nih.gov/nucleotide/XM_013385617.1?report=genbank&amp;log$=nucltop&amp;blast_rank=33&amp;RID=0RSTV4YX016","XM_013385617.1")</f>
        <v>XM_013385617.1</v>
      </c>
    </row>
    <row r="667" spans="1:7" x14ac:dyDescent="0.35">
      <c r="A667" t="s">
        <v>428</v>
      </c>
      <c r="B667">
        <v>182</v>
      </c>
      <c r="C667">
        <v>182</v>
      </c>
      <c r="D667" s="2">
        <v>0.44</v>
      </c>
      <c r="E667" s="3">
        <v>8.9999999999999998E-48</v>
      </c>
      <c r="F667">
        <v>44.86</v>
      </c>
      <c r="G667" t="str">
        <f>HYPERLINK("https://www.ncbi.nlm.nih.gov/nucleotide/XM_011391860.1?report=genbank&amp;log$=nucltop&amp;blast_rank=34&amp;RID=0RSTV4YX016","XM_011391860.1")</f>
        <v>XM_011391860.1</v>
      </c>
    </row>
    <row r="668" spans="1:7" x14ac:dyDescent="0.35">
      <c r="A668" t="s">
        <v>183</v>
      </c>
      <c r="B668">
        <v>174</v>
      </c>
      <c r="C668">
        <v>174</v>
      </c>
      <c r="D668" s="2">
        <v>0.44</v>
      </c>
      <c r="E668" s="3">
        <v>9.9999999999999998E-46</v>
      </c>
      <c r="F668">
        <v>44.86</v>
      </c>
      <c r="G668" t="str">
        <f>HYPERLINK("https://www.ncbi.nlm.nih.gov/nucleotide/XM_016436758.1?report=genbank&amp;log$=nucltop&amp;blast_rank=35&amp;RID=0RSTV4YX016","XM_016436758.1")</f>
        <v>XM_016436758.1</v>
      </c>
    </row>
    <row r="669" spans="1:7" x14ac:dyDescent="0.35">
      <c r="A669" t="s">
        <v>170</v>
      </c>
      <c r="B669">
        <v>175</v>
      </c>
      <c r="C669">
        <v>175</v>
      </c>
      <c r="D669" s="2">
        <v>0.44</v>
      </c>
      <c r="E669" s="3">
        <v>2E-45</v>
      </c>
      <c r="F669">
        <v>44.86</v>
      </c>
      <c r="G669" t="str">
        <f>HYPERLINK("https://www.ncbi.nlm.nih.gov/nucleotide/XM_012334052.1?report=genbank&amp;log$=nucltop&amp;blast_rank=36&amp;RID=0RSTV4YX016","XM_012334052.1")</f>
        <v>XM_012334052.1</v>
      </c>
    </row>
    <row r="670" spans="1:7" x14ac:dyDescent="0.35">
      <c r="A670" t="s">
        <v>413</v>
      </c>
      <c r="B670">
        <v>174</v>
      </c>
      <c r="C670">
        <v>174</v>
      </c>
      <c r="D670" s="2">
        <v>0.44</v>
      </c>
      <c r="E670" s="3">
        <v>1E-42</v>
      </c>
      <c r="F670">
        <v>44.86</v>
      </c>
      <c r="G670" t="str">
        <f>HYPERLINK("https://www.ncbi.nlm.nih.gov/nucleotide/LT558130.1?report=genbank&amp;log$=nucltop&amp;blast_rank=37&amp;RID=0RSTV4YX016","LT558130.1")</f>
        <v>LT558130.1</v>
      </c>
    </row>
    <row r="671" spans="1:7" x14ac:dyDescent="0.35">
      <c r="A671" t="s">
        <v>421</v>
      </c>
      <c r="B671">
        <v>174</v>
      </c>
      <c r="C671">
        <v>174</v>
      </c>
      <c r="D671" s="2">
        <v>0.44</v>
      </c>
      <c r="E671" s="3">
        <v>6.0000000000000002E-45</v>
      </c>
      <c r="F671">
        <v>44.39</v>
      </c>
      <c r="G671" t="str">
        <f>HYPERLINK("https://www.ncbi.nlm.nih.gov/nucleotide/XM_029881727.1?report=genbank&amp;log$=nucltop&amp;blast_rank=38&amp;RID=0RSTV4YX016","XM_029881727.1")</f>
        <v>XM_029881727.1</v>
      </c>
    </row>
    <row r="672" spans="1:7" x14ac:dyDescent="0.35">
      <c r="A672" t="s">
        <v>423</v>
      </c>
      <c r="B672">
        <v>171</v>
      </c>
      <c r="C672">
        <v>171</v>
      </c>
      <c r="D672" s="2">
        <v>0.44</v>
      </c>
      <c r="E672" s="3">
        <v>2E-41</v>
      </c>
      <c r="F672">
        <v>44.39</v>
      </c>
      <c r="G672" t="str">
        <f>HYPERLINK("https://www.ncbi.nlm.nih.gov/nucleotide/LK056684.1?report=genbank&amp;log$=nucltop&amp;blast_rank=39&amp;RID=0RSTV4YX016","LK056684.1")</f>
        <v>LK056684.1</v>
      </c>
    </row>
    <row r="673" spans="1:7" x14ac:dyDescent="0.35">
      <c r="A673" t="s">
        <v>424</v>
      </c>
      <c r="B673">
        <v>171</v>
      </c>
      <c r="C673">
        <v>171</v>
      </c>
      <c r="D673" s="2">
        <v>0.44</v>
      </c>
      <c r="E673" s="3">
        <v>2E-41</v>
      </c>
      <c r="F673">
        <v>44.39</v>
      </c>
      <c r="G673" t="str">
        <f>HYPERLINK("https://www.ncbi.nlm.nih.gov/nucleotide/CP010927.1?report=genbank&amp;log$=nucltop&amp;blast_rank=40&amp;RID=0RSTV4YX016","CP010927.1")</f>
        <v>CP010927.1</v>
      </c>
    </row>
    <row r="674" spans="1:7" x14ac:dyDescent="0.35">
      <c r="A674" s="4" t="s">
        <v>434</v>
      </c>
      <c r="B674" s="4">
        <v>177</v>
      </c>
      <c r="C674" s="4">
        <v>177</v>
      </c>
      <c r="D674" s="5">
        <v>0.41</v>
      </c>
      <c r="E674" s="6">
        <v>9.9999999999999998E-46</v>
      </c>
      <c r="F674" s="4">
        <v>44.06</v>
      </c>
      <c r="G674" s="4" t="str">
        <f>HYPERLINK("https://www.ncbi.nlm.nih.gov/nucleotide/XM_014800184.1?report=genbank&amp;log$=nucltop&amp;blast_rank=41&amp;RID=0RSTV4YX016","XM_014800184.1")</f>
        <v>XM_014800184.1</v>
      </c>
    </row>
    <row r="675" spans="1:7" x14ac:dyDescent="0.35">
      <c r="A675" t="s">
        <v>422</v>
      </c>
      <c r="B675">
        <v>172</v>
      </c>
      <c r="C675">
        <v>172</v>
      </c>
      <c r="D675" s="2">
        <v>0.44</v>
      </c>
      <c r="E675" s="3">
        <v>4.0000000000000002E-42</v>
      </c>
      <c r="F675">
        <v>43.93</v>
      </c>
      <c r="G675" t="str">
        <f>HYPERLINK("https://www.ncbi.nlm.nih.gov/nucleotide/HG529735.1?report=genbank&amp;log$=nucltop&amp;blast_rank=42&amp;RID=0RSTV4YX016","HG529735.1")</f>
        <v>HG529735.1</v>
      </c>
    </row>
    <row r="676" spans="1:7" x14ac:dyDescent="0.35">
      <c r="A676" t="s">
        <v>185</v>
      </c>
      <c r="B676">
        <v>174</v>
      </c>
      <c r="C676">
        <v>174</v>
      </c>
      <c r="D676" s="2">
        <v>0.44</v>
      </c>
      <c r="E676" s="3">
        <v>4.0000000000000001E-46</v>
      </c>
      <c r="F676">
        <v>43.72</v>
      </c>
      <c r="G676" t="str">
        <f>HYPERLINK("https://www.ncbi.nlm.nih.gov/nucleotide/XM_007878763.1?report=genbank&amp;log$=nucltop&amp;blast_rank=43&amp;RID=0RSTV4YX016","XM_007878763.1")</f>
        <v>XM_007878763.1</v>
      </c>
    </row>
    <row r="677" spans="1:7" x14ac:dyDescent="0.35">
      <c r="A677" s="4" t="s">
        <v>412</v>
      </c>
      <c r="B677" s="4">
        <v>179</v>
      </c>
      <c r="C677" s="4">
        <v>179</v>
      </c>
      <c r="D677" s="5">
        <v>0.44</v>
      </c>
      <c r="E677" s="6">
        <v>5.0000000000000001E-47</v>
      </c>
      <c r="F677" s="4">
        <v>43.52</v>
      </c>
      <c r="G677" s="4" t="str">
        <f>HYPERLINK("https://www.ncbi.nlm.nih.gov/nucleotide/XM_019193050.1?report=genbank&amp;log$=nucltop&amp;blast_rank=44&amp;RID=0RSTV4YX016","XM_019193050.1")</f>
        <v>XM_019193050.1</v>
      </c>
    </row>
    <row r="678" spans="1:7" x14ac:dyDescent="0.35">
      <c r="A678" t="s">
        <v>166</v>
      </c>
      <c r="B678">
        <v>168</v>
      </c>
      <c r="C678">
        <v>168</v>
      </c>
      <c r="D678" s="2">
        <v>0.4</v>
      </c>
      <c r="E678" s="3">
        <v>9.9999999999999993E-41</v>
      </c>
      <c r="F678">
        <v>42.64</v>
      </c>
      <c r="G678" t="str">
        <f>HYPERLINK("https://www.ncbi.nlm.nih.gov/nucleotide/CP060305.1?report=genbank&amp;log$=nucltop&amp;blast_rank=45&amp;RID=0RSTV4YX016","CP060305.1")</f>
        <v>CP060305.1</v>
      </c>
    </row>
    <row r="679" spans="1:7" x14ac:dyDescent="0.35">
      <c r="A679" s="4" t="s">
        <v>415</v>
      </c>
      <c r="B679" s="4">
        <v>181</v>
      </c>
      <c r="C679" s="4">
        <v>181</v>
      </c>
      <c r="D679" s="5">
        <v>0.44</v>
      </c>
      <c r="E679" s="6">
        <v>8.9999999999999998E-48</v>
      </c>
      <c r="F679" s="4">
        <v>42.6</v>
      </c>
      <c r="G679" s="4" t="str">
        <f>HYPERLINK("https://www.ncbi.nlm.nih.gov/nucleotide/XM_019155149.1?report=genbank&amp;log$=nucltop&amp;blast_rank=46&amp;RID=0RSTV4YX016","XM_019155149.1")</f>
        <v>XM_019155149.1</v>
      </c>
    </row>
    <row r="680" spans="1:7" x14ac:dyDescent="0.35">
      <c r="A680" s="4" t="s">
        <v>416</v>
      </c>
      <c r="B680" s="4">
        <v>181</v>
      </c>
      <c r="C680" s="4">
        <v>181</v>
      </c>
      <c r="D680" s="5">
        <v>0.44</v>
      </c>
      <c r="E680" s="6">
        <v>9.9999999999999997E-48</v>
      </c>
      <c r="F680" s="4">
        <v>42.6</v>
      </c>
      <c r="G680" s="4" t="str">
        <f>HYPERLINK("https://www.ncbi.nlm.nih.gov/nucleotide/XM_018409022.1?report=genbank&amp;log$=nucltop&amp;blast_rank=47&amp;RID=0RSTV4YX016","XM_018409022.1")</f>
        <v>XM_018409022.1</v>
      </c>
    </row>
    <row r="681" spans="1:7" x14ac:dyDescent="0.35">
      <c r="A681" t="s">
        <v>427</v>
      </c>
      <c r="B681">
        <v>181</v>
      </c>
      <c r="C681">
        <v>181</v>
      </c>
      <c r="D681" s="2">
        <v>0.44</v>
      </c>
      <c r="E681" s="3">
        <v>3.0000000000000002E-47</v>
      </c>
      <c r="F681">
        <v>42.41</v>
      </c>
      <c r="G681" t="str">
        <f>HYPERLINK("https://www.ncbi.nlm.nih.gov/nucleotide/XM_019138643.1?report=genbank&amp;log$=nucltop&amp;blast_rank=48&amp;RID=0RSTV4YX016","XM_019138643.1")</f>
        <v>XM_019138643.1</v>
      </c>
    </row>
    <row r="682" spans="1:7" x14ac:dyDescent="0.35">
      <c r="A682" t="s">
        <v>426</v>
      </c>
      <c r="B682">
        <v>169</v>
      </c>
      <c r="C682">
        <v>169</v>
      </c>
      <c r="D682" s="2">
        <v>0.44</v>
      </c>
      <c r="E682" s="3">
        <v>1.0000000000000001E-43</v>
      </c>
      <c r="F682">
        <v>42.33</v>
      </c>
      <c r="G682" t="str">
        <f>HYPERLINK("https://www.ncbi.nlm.nih.gov/nucleotide/XM_032005597.1?report=genbank&amp;log$=nucltop&amp;blast_rank=49&amp;RID=0RSTV4YX016","XM_032005597.1")</f>
        <v>XM_032005597.1</v>
      </c>
    </row>
    <row r="683" spans="1:7" x14ac:dyDescent="0.35">
      <c r="A683" t="s">
        <v>417</v>
      </c>
      <c r="B683">
        <v>171</v>
      </c>
      <c r="C683">
        <v>171</v>
      </c>
      <c r="D683" s="2">
        <v>0.44</v>
      </c>
      <c r="E683" s="3">
        <v>7.9999999999999996E-44</v>
      </c>
      <c r="F683">
        <v>42.01</v>
      </c>
      <c r="G683" t="str">
        <f>HYPERLINK("https://www.ncbi.nlm.nih.gov/nucleotide/XM_007006886.1?report=genbank&amp;log$=nucltop&amp;blast_rank=50&amp;RID=0RSTV4YX016","XM_007006886.1")</f>
        <v>XM_007006886.1</v>
      </c>
    </row>
    <row r="684" spans="1:7" x14ac:dyDescent="0.35">
      <c r="A684" t="s">
        <v>419</v>
      </c>
      <c r="B684">
        <v>172</v>
      </c>
      <c r="C684">
        <v>172</v>
      </c>
      <c r="D684" s="2">
        <v>0.44</v>
      </c>
      <c r="E684" s="3">
        <v>3.0000000000000002E-44</v>
      </c>
      <c r="F684">
        <v>41.96</v>
      </c>
      <c r="G684" t="str">
        <f>HYPERLINK("https://www.ncbi.nlm.nih.gov/nucleotide/XM_019179827.1?report=genbank&amp;log$=nucltop&amp;blast_rank=51&amp;RID=0RSTV4YX016","XM_019179827.1")</f>
        <v>XM_019179827.1</v>
      </c>
    </row>
    <row r="685" spans="1:7" x14ac:dyDescent="0.35">
      <c r="A685" t="s">
        <v>435</v>
      </c>
      <c r="B685">
        <v>174</v>
      </c>
      <c r="C685">
        <v>174</v>
      </c>
      <c r="D685" s="2">
        <v>0.44</v>
      </c>
      <c r="E685" s="3">
        <v>1.9999999999999999E-44</v>
      </c>
      <c r="F685">
        <v>41.95</v>
      </c>
      <c r="G685" t="str">
        <f>HYPERLINK("https://www.ncbi.nlm.nih.gov/nucleotide/XM_003319999.2?report=genbank&amp;log$=nucltop&amp;blast_rank=52&amp;RID=0RSTV4YX016","XM_003319999.2")</f>
        <v>XM_003319999.2</v>
      </c>
    </row>
    <row r="686" spans="1:7" x14ac:dyDescent="0.35">
      <c r="A686" t="s">
        <v>436</v>
      </c>
      <c r="B686">
        <v>174</v>
      </c>
      <c r="C686">
        <v>174</v>
      </c>
      <c r="D686" s="2">
        <v>0.44</v>
      </c>
      <c r="E686" s="3">
        <v>8.9999999999999997E-44</v>
      </c>
      <c r="F686">
        <v>41.95</v>
      </c>
      <c r="G686" t="str">
        <f>HYPERLINK("https://www.ncbi.nlm.nih.gov/nucleotide/XM_003337970.2?report=genbank&amp;log$=nucltop&amp;blast_rank=53&amp;RID=0RSTV4YX016","XM_003337970.2")</f>
        <v>XM_003337970.2</v>
      </c>
    </row>
    <row r="687" spans="1:7" x14ac:dyDescent="0.35">
      <c r="A687" t="s">
        <v>420</v>
      </c>
      <c r="B687">
        <v>176</v>
      </c>
      <c r="C687">
        <v>176</v>
      </c>
      <c r="D687" s="2">
        <v>0.44</v>
      </c>
      <c r="E687" s="3">
        <v>9.9999999999999998E-46</v>
      </c>
      <c r="F687">
        <v>41.89</v>
      </c>
      <c r="G687" t="str">
        <f>HYPERLINK("https://www.ncbi.nlm.nih.gov/nucleotide/XM_019143722.1?report=genbank&amp;log$=nucltop&amp;blast_rank=54&amp;RID=0RSTV4YX016","XM_019143722.1")</f>
        <v>XM_019143722.1</v>
      </c>
    </row>
    <row r="688" spans="1:7" x14ac:dyDescent="0.35">
      <c r="A688" t="s">
        <v>408</v>
      </c>
      <c r="B688">
        <v>173</v>
      </c>
      <c r="C688">
        <v>173</v>
      </c>
      <c r="D688" s="2">
        <v>0.44</v>
      </c>
      <c r="E688" s="3">
        <v>9.9999999999999995E-45</v>
      </c>
      <c r="F688">
        <v>41.82</v>
      </c>
      <c r="G688" t="str">
        <f>HYPERLINK("https://www.ncbi.nlm.nih.gov/nucleotide/XM_003194443.1?report=genbank&amp;log$=nucltop&amp;blast_rank=55&amp;RID=0RSTV4YX016","XM_003194443.1")</f>
        <v>XM_003194443.1</v>
      </c>
    </row>
    <row r="689" spans="1:7" x14ac:dyDescent="0.35">
      <c r="A689" t="s">
        <v>409</v>
      </c>
      <c r="B689">
        <v>171</v>
      </c>
      <c r="C689">
        <v>171</v>
      </c>
      <c r="D689" s="2">
        <v>0.44</v>
      </c>
      <c r="E689" s="3">
        <v>8.9999999999999997E-44</v>
      </c>
      <c r="F689">
        <v>41.82</v>
      </c>
      <c r="G689" t="str">
        <f>HYPERLINK("https://www.ncbi.nlm.nih.gov/nucleotide/XM_770139.1?report=genbank&amp;log$=nucltop&amp;blast_rank=56&amp;RID=0RSTV4YX016","XM_770139.1")</f>
        <v>XM_770139.1</v>
      </c>
    </row>
    <row r="690" spans="1:7" x14ac:dyDescent="0.35">
      <c r="A690" t="s">
        <v>410</v>
      </c>
      <c r="B690">
        <v>171</v>
      </c>
      <c r="C690">
        <v>171</v>
      </c>
      <c r="D690" s="2">
        <v>0.44</v>
      </c>
      <c r="E690" s="3">
        <v>1.0000000000000001E-43</v>
      </c>
      <c r="F690">
        <v>41.82</v>
      </c>
      <c r="G690" t="str">
        <f>HYPERLINK("https://www.ncbi.nlm.nih.gov/nucleotide/HQ399545.1?report=genbank&amp;log$=nucltop&amp;blast_rank=57&amp;RID=0RSTV4YX016","HQ399545.1")</f>
        <v>HQ399545.1</v>
      </c>
    </row>
    <row r="691" spans="1:7" x14ac:dyDescent="0.35">
      <c r="A691" t="s">
        <v>411</v>
      </c>
      <c r="B691">
        <v>171</v>
      </c>
      <c r="C691">
        <v>171</v>
      </c>
      <c r="D691" s="2">
        <v>0.44</v>
      </c>
      <c r="E691" s="3">
        <v>7.0000000000000004E-42</v>
      </c>
      <c r="F691">
        <v>41.82</v>
      </c>
      <c r="G691" t="str">
        <f>HYPERLINK("https://www.ncbi.nlm.nih.gov/nucleotide/XM_571034.2?report=genbank&amp;log$=nucltop&amp;blast_rank=58&amp;RID=0RSTV4YX016","XM_571034.2")</f>
        <v>XM_571034.2</v>
      </c>
    </row>
    <row r="692" spans="1:7" x14ac:dyDescent="0.35">
      <c r="A692" t="s">
        <v>407</v>
      </c>
      <c r="B692">
        <v>176</v>
      </c>
      <c r="C692">
        <v>176</v>
      </c>
      <c r="D692" s="2">
        <v>0.44</v>
      </c>
      <c r="E692" s="3">
        <v>2.9999999999999999E-48</v>
      </c>
      <c r="F692">
        <v>41.59</v>
      </c>
      <c r="G692" t="str">
        <f>HYPERLINK("https://www.ncbi.nlm.nih.gov/nucleotide/XM_018424900.1?report=genbank&amp;log$=nucltop&amp;blast_rank=59&amp;RID=0RSTV4YX016","XM_018424900.1")</f>
        <v>XM_018424900.1</v>
      </c>
    </row>
    <row r="693" spans="1:7" x14ac:dyDescent="0.35">
      <c r="A693" t="s">
        <v>425</v>
      </c>
      <c r="B693">
        <v>164</v>
      </c>
      <c r="C693">
        <v>164</v>
      </c>
      <c r="D693" s="2">
        <v>0.44</v>
      </c>
      <c r="E693" s="3">
        <v>9.9999999999999993E-41</v>
      </c>
      <c r="F693">
        <v>41.26</v>
      </c>
      <c r="G693" t="str">
        <f>HYPERLINK("https://www.ncbi.nlm.nih.gov/nucleotide/XM_025521609.1?report=genbank&amp;log$=nucltop&amp;blast_rank=60&amp;RID=0RSTV4YX016","XM_025521609.1")</f>
        <v>XM_025521609.1</v>
      </c>
    </row>
    <row r="694" spans="1:7" x14ac:dyDescent="0.35">
      <c r="A694" t="s">
        <v>441</v>
      </c>
      <c r="B694">
        <v>159</v>
      </c>
      <c r="C694">
        <v>159</v>
      </c>
      <c r="D694" s="2">
        <v>0.42</v>
      </c>
      <c r="E694" s="3">
        <v>4.9999999999999998E-39</v>
      </c>
      <c r="F694">
        <v>41.23</v>
      </c>
      <c r="G694" t="str">
        <f>HYPERLINK("https://www.ncbi.nlm.nih.gov/nucleotide/XM_025745181.1?report=genbank&amp;log$=nucltop&amp;blast_rank=61&amp;RID=0RSTV4YX016","XM_025745181.1")</f>
        <v>XM_025745181.1</v>
      </c>
    </row>
    <row r="695" spans="1:7" x14ac:dyDescent="0.35">
      <c r="A695" t="s">
        <v>418</v>
      </c>
      <c r="B695">
        <v>170</v>
      </c>
      <c r="C695">
        <v>170</v>
      </c>
      <c r="D695" s="2">
        <v>0.44</v>
      </c>
      <c r="E695" s="3">
        <v>4.0000000000000002E-42</v>
      </c>
      <c r="F695">
        <v>41.18</v>
      </c>
      <c r="G695" t="str">
        <f>HYPERLINK("https://www.ncbi.nlm.nih.gov/nucleotide/XM_012194483.1?report=genbank&amp;log$=nucltop&amp;blast_rank=62&amp;RID=0RSTV4YX016","XM_012194483.1")</f>
        <v>XM_012194483.1</v>
      </c>
    </row>
    <row r="696" spans="1:7" x14ac:dyDescent="0.35">
      <c r="A696" t="s">
        <v>326</v>
      </c>
      <c r="B696">
        <v>168</v>
      </c>
      <c r="C696">
        <v>168</v>
      </c>
      <c r="D696" s="2">
        <v>0.43</v>
      </c>
      <c r="E696" s="3">
        <v>3.0000000000000003E-42</v>
      </c>
      <c r="F696">
        <v>41.01</v>
      </c>
      <c r="G696" t="str">
        <f>HYPERLINK("https://www.ncbi.nlm.nih.gov/nucleotide/XM_014715922.1?report=genbank&amp;log$=nucltop&amp;blast_rank=63&amp;RID=0RSTV4YX016","XM_014715922.1")</f>
        <v>XM_014715922.1</v>
      </c>
    </row>
    <row r="697" spans="1:7" x14ac:dyDescent="0.35">
      <c r="A697" t="s">
        <v>440</v>
      </c>
      <c r="B697">
        <v>169</v>
      </c>
      <c r="C697">
        <v>169</v>
      </c>
      <c r="D697" s="2">
        <v>0.44</v>
      </c>
      <c r="E697" s="3">
        <v>1E-42</v>
      </c>
      <c r="F697">
        <v>40.93</v>
      </c>
      <c r="G697" t="str">
        <f>HYPERLINK("https://www.ncbi.nlm.nih.gov/nucleotide/XM_007411685.1?report=genbank&amp;log$=nucltop&amp;blast_rank=64&amp;RID=0RSTV4YX016","XM_007411685.1")</f>
        <v>XM_007411685.1</v>
      </c>
    </row>
    <row r="698" spans="1:7" x14ac:dyDescent="0.35">
      <c r="A698" t="s">
        <v>438</v>
      </c>
      <c r="B698">
        <v>168</v>
      </c>
      <c r="C698">
        <v>168</v>
      </c>
      <c r="D698" s="2">
        <v>0.44</v>
      </c>
      <c r="E698" s="3">
        <v>2.0000000000000001E-42</v>
      </c>
      <c r="F698">
        <v>40.61</v>
      </c>
      <c r="G698" t="str">
        <f>HYPERLINK("https://www.ncbi.nlm.nih.gov/nucleotide/XM_025493523.1?report=genbank&amp;log$=nucltop&amp;blast_rank=65&amp;RID=0RSTV4YX016","XM_025493523.1")</f>
        <v>XM_025493523.1</v>
      </c>
    </row>
    <row r="699" spans="1:7" x14ac:dyDescent="0.35">
      <c r="A699" t="s">
        <v>433</v>
      </c>
      <c r="B699">
        <v>154</v>
      </c>
      <c r="C699">
        <v>154</v>
      </c>
      <c r="D699" s="2">
        <v>0.44</v>
      </c>
      <c r="E699" s="3">
        <v>9.9999999999999993E-40</v>
      </c>
      <c r="F699">
        <v>40.270000000000003</v>
      </c>
      <c r="G699" t="str">
        <f>HYPERLINK("https://www.ncbi.nlm.nih.gov/nucleotide/XM_025496346.1?report=genbank&amp;log$=nucltop&amp;blast_rank=66&amp;RID=0RSTV4YX016","XM_025496346.1")</f>
        <v>XM_025496346.1</v>
      </c>
    </row>
    <row r="700" spans="1:7" x14ac:dyDescent="0.35">
      <c r="A700" t="s">
        <v>442</v>
      </c>
      <c r="B700">
        <v>176</v>
      </c>
      <c r="C700">
        <v>176</v>
      </c>
      <c r="D700" s="2">
        <v>0.44</v>
      </c>
      <c r="E700" s="3">
        <v>3.0000000000000002E-44</v>
      </c>
      <c r="F700">
        <v>40.26</v>
      </c>
      <c r="G700" t="str">
        <f>HYPERLINK("https://www.ncbi.nlm.nih.gov/nucleotide/XM_025513131.1?report=genbank&amp;log$=nucltop&amp;blast_rank=67&amp;RID=0RSTV4YX016","XM_025513131.1")</f>
        <v>XM_025513131.1</v>
      </c>
    </row>
    <row r="701" spans="1:7" x14ac:dyDescent="0.35">
      <c r="A701" t="s">
        <v>439</v>
      </c>
      <c r="B701">
        <v>168</v>
      </c>
      <c r="C701">
        <v>168</v>
      </c>
      <c r="D701" s="2">
        <v>0.44</v>
      </c>
      <c r="E701" s="3">
        <v>6.9999999999999999E-43</v>
      </c>
      <c r="F701">
        <v>39.729999999999997</v>
      </c>
      <c r="G701" t="str">
        <f>HYPERLINK("https://www.ncbi.nlm.nih.gov/nucleotide/XM_016417699.1?report=genbank&amp;log$=nucltop&amp;blast_rank=68&amp;RID=0RSTV4YX016","XM_016417699.1")</f>
        <v>XM_016417699.1</v>
      </c>
    </row>
    <row r="702" spans="1:7" x14ac:dyDescent="0.35">
      <c r="A702" t="s">
        <v>431</v>
      </c>
      <c r="B702">
        <v>166</v>
      </c>
      <c r="C702">
        <v>166</v>
      </c>
      <c r="D702" s="2">
        <v>0.44</v>
      </c>
      <c r="E702" s="3">
        <v>2E-41</v>
      </c>
      <c r="F702">
        <v>39.29</v>
      </c>
      <c r="G702" t="str">
        <f>HYPERLINK("https://www.ncbi.nlm.nih.gov/nucleotide/XM_022012622.1?report=genbank&amp;log$=nucltop&amp;blast_rank=69&amp;RID=0RSTV4YX016","XM_022012622.1")</f>
        <v>XM_022012622.1</v>
      </c>
    </row>
    <row r="703" spans="1:7" x14ac:dyDescent="0.35">
      <c r="A703" t="s">
        <v>437</v>
      </c>
      <c r="B703">
        <v>157</v>
      </c>
      <c r="C703">
        <v>157</v>
      </c>
      <c r="D703" s="2">
        <v>0.44</v>
      </c>
      <c r="E703" s="3">
        <v>9.9999999999999993E-41</v>
      </c>
      <c r="F703">
        <v>38.5</v>
      </c>
      <c r="G703" t="str">
        <f>HYPERLINK("https://www.ncbi.nlm.nih.gov/nucleotide/XM_028624687.1?report=genbank&amp;log$=nucltop&amp;blast_rank=70&amp;RID=0RSTV4YX016","XM_028624687.1")</f>
        <v>XM_028624687.1</v>
      </c>
    </row>
    <row r="704" spans="1:7" x14ac:dyDescent="0.35">
      <c r="A704" t="s">
        <v>444</v>
      </c>
      <c r="B704">
        <v>151</v>
      </c>
      <c r="C704">
        <v>151</v>
      </c>
      <c r="D704" s="2">
        <v>0.44</v>
      </c>
      <c r="E704" s="3">
        <v>1E-35</v>
      </c>
      <c r="F704">
        <v>35.81</v>
      </c>
      <c r="G704" t="str">
        <f>HYPERLINK("https://www.ncbi.nlm.nih.gov/nucleotide/XM_018369006.1?report=genbank&amp;log$=nucltop&amp;blast_rank=71&amp;RID=0RSTV4YX016","XM_018369006.1")</f>
        <v>XM_018369006.1</v>
      </c>
    </row>
    <row r="705" spans="1:7" x14ac:dyDescent="0.35">
      <c r="A705" t="s">
        <v>443</v>
      </c>
      <c r="B705">
        <v>152</v>
      </c>
      <c r="C705">
        <v>152</v>
      </c>
      <c r="D705" s="2">
        <v>0.44</v>
      </c>
      <c r="E705" s="3">
        <v>6.9999999999999999E-36</v>
      </c>
      <c r="F705">
        <v>35.35</v>
      </c>
      <c r="G705" t="str">
        <f>HYPERLINK("https://www.ncbi.nlm.nih.gov/nucleotide/XM_007874156.1?report=genbank&amp;log$=nucltop&amp;blast_rank=72&amp;RID=0RSTV4YX016","XM_007874156.1")</f>
        <v>XM_007874156.1</v>
      </c>
    </row>
    <row r="706" spans="1:7" x14ac:dyDescent="0.35">
      <c r="A706" t="s">
        <v>445</v>
      </c>
      <c r="B706">
        <v>145</v>
      </c>
      <c r="C706">
        <v>145</v>
      </c>
      <c r="D706" s="2">
        <v>0.43</v>
      </c>
      <c r="E706" s="3">
        <v>3E-34</v>
      </c>
      <c r="F706">
        <v>34.229999999999997</v>
      </c>
      <c r="G706" t="str">
        <f>HYPERLINK("https://www.ncbi.nlm.nih.gov/nucleotide/XM_022027061.1?report=genbank&amp;log$=nucltop&amp;blast_rank=73&amp;RID=0RSTV4YX016","XM_022027061.1")</f>
        <v>XM_022027061.1</v>
      </c>
    </row>
    <row r="707" spans="1:7" x14ac:dyDescent="0.35">
      <c r="A707" t="s">
        <v>454</v>
      </c>
      <c r="B707">
        <v>144</v>
      </c>
      <c r="C707">
        <v>144</v>
      </c>
      <c r="D707" s="2">
        <v>0.44</v>
      </c>
      <c r="E707" s="3">
        <v>3.0000000000000002E-33</v>
      </c>
      <c r="F707">
        <v>34.22</v>
      </c>
      <c r="G707" t="str">
        <f>HYPERLINK("https://www.ncbi.nlm.nih.gov/nucleotide/XM_025319938.1?report=genbank&amp;log$=nucltop&amp;blast_rank=74&amp;RID=0RSTV4YX016","XM_025319938.1")</f>
        <v>XM_025319938.1</v>
      </c>
    </row>
    <row r="708" spans="1:7" x14ac:dyDescent="0.35">
      <c r="A708" t="s">
        <v>457</v>
      </c>
      <c r="B708">
        <v>131</v>
      </c>
      <c r="C708">
        <v>131</v>
      </c>
      <c r="D708" s="2">
        <v>0.42</v>
      </c>
      <c r="E708" s="3">
        <v>7.9999999999999995E-29</v>
      </c>
      <c r="F708">
        <v>33.64</v>
      </c>
      <c r="G708" t="str">
        <f>HYPERLINK("https://www.ncbi.nlm.nih.gov/nucleotide/XM_025480965.1?report=genbank&amp;log$=nucltop&amp;blast_rank=75&amp;RID=0RSTV4YX016","XM_025480965.1")</f>
        <v>XM_025480965.1</v>
      </c>
    </row>
    <row r="709" spans="1:7" x14ac:dyDescent="0.35">
      <c r="A709" t="s">
        <v>754</v>
      </c>
      <c r="B709">
        <v>130</v>
      </c>
      <c r="C709">
        <v>130</v>
      </c>
      <c r="D709" s="2">
        <v>0.42</v>
      </c>
      <c r="E709" s="3">
        <v>3E-28</v>
      </c>
      <c r="F709">
        <v>33.64</v>
      </c>
      <c r="G709" t="str">
        <f>HYPERLINK("https://www.ncbi.nlm.nih.gov/nucleotide/XM_029032634.1?report=genbank&amp;log$=nucltop&amp;blast_rank=76&amp;RID=0RSTV4YX016","XM_029032634.1")</f>
        <v>XM_029032634.1</v>
      </c>
    </row>
    <row r="710" spans="1:7" x14ac:dyDescent="0.35">
      <c r="A710" t="s">
        <v>980</v>
      </c>
      <c r="B710">
        <v>133</v>
      </c>
      <c r="C710">
        <v>133</v>
      </c>
      <c r="D710" s="2">
        <v>0.44</v>
      </c>
      <c r="E710" s="3">
        <v>1.9999999999999999E-29</v>
      </c>
      <c r="F710">
        <v>33.33</v>
      </c>
      <c r="G710" t="str">
        <f>HYPERLINK("https://www.ncbi.nlm.nih.gov/nucleotide/XM_022030713.1?report=genbank&amp;log$=nucltop&amp;blast_rank=77&amp;RID=0RSTV4YX016","XM_022030713.1")</f>
        <v>XM_022030713.1</v>
      </c>
    </row>
    <row r="711" spans="1:7" x14ac:dyDescent="0.35">
      <c r="A711" t="s">
        <v>466</v>
      </c>
      <c r="B711">
        <v>132</v>
      </c>
      <c r="C711">
        <v>132</v>
      </c>
      <c r="D711" s="2">
        <v>0.43</v>
      </c>
      <c r="E711" s="3">
        <v>1.9999999999999999E-28</v>
      </c>
      <c r="F711">
        <v>33.33</v>
      </c>
      <c r="G711" t="str">
        <f>HYPERLINK("https://www.ncbi.nlm.nih.gov/nucleotide/CP061160.1?report=genbank&amp;log$=nucltop&amp;blast_rank=78&amp;RID=0RSTV4YX016","CP061160.1")</f>
        <v>CP061160.1</v>
      </c>
    </row>
    <row r="712" spans="1:7" x14ac:dyDescent="0.35">
      <c r="A712" t="s">
        <v>462</v>
      </c>
      <c r="B712">
        <v>132</v>
      </c>
      <c r="C712">
        <v>132</v>
      </c>
      <c r="D712" s="2">
        <v>0.43</v>
      </c>
      <c r="E712" s="3">
        <v>1.9999999999999999E-28</v>
      </c>
      <c r="F712">
        <v>33.33</v>
      </c>
      <c r="G712" t="str">
        <f>HYPERLINK("https://www.ncbi.nlm.nih.gov/nucleotide/CP050654.1?report=genbank&amp;log$=nucltop&amp;blast_rank=79&amp;RID=0RSTV4YX016","CP050654.1")</f>
        <v>CP050654.1</v>
      </c>
    </row>
    <row r="713" spans="1:7" x14ac:dyDescent="0.35">
      <c r="A713" t="s">
        <v>463</v>
      </c>
      <c r="B713">
        <v>132</v>
      </c>
      <c r="C713">
        <v>132</v>
      </c>
      <c r="D713" s="2">
        <v>0.43</v>
      </c>
      <c r="E713" s="3">
        <v>1.9999999999999999E-28</v>
      </c>
      <c r="F713">
        <v>33.33</v>
      </c>
      <c r="G713" t="str">
        <f>HYPERLINK("https://www.ncbi.nlm.nih.gov/nucleotide/CP050668.1?report=genbank&amp;log$=nucltop&amp;blast_rank=80&amp;RID=0RSTV4YX016","CP050668.1")</f>
        <v>CP050668.1</v>
      </c>
    </row>
    <row r="714" spans="1:7" x14ac:dyDescent="0.35">
      <c r="A714" t="s">
        <v>464</v>
      </c>
      <c r="B714">
        <v>132</v>
      </c>
      <c r="C714">
        <v>132</v>
      </c>
      <c r="D714" s="2">
        <v>0.43</v>
      </c>
      <c r="E714" s="3">
        <v>1.9999999999999999E-28</v>
      </c>
      <c r="F714">
        <v>33.33</v>
      </c>
      <c r="G714" t="str">
        <f>HYPERLINK("https://www.ncbi.nlm.nih.gov/nucleotide/CP043443.1?report=genbank&amp;log$=nucltop&amp;blast_rank=81&amp;RID=0RSTV4YX016","CP043443.1")</f>
        <v>CP043443.1</v>
      </c>
    </row>
    <row r="715" spans="1:7" x14ac:dyDescent="0.35">
      <c r="A715" t="s">
        <v>465</v>
      </c>
      <c r="B715">
        <v>132</v>
      </c>
      <c r="C715">
        <v>132</v>
      </c>
      <c r="D715" s="2">
        <v>0.43</v>
      </c>
      <c r="E715" s="3">
        <v>1.9999999999999999E-28</v>
      </c>
      <c r="F715">
        <v>33.33</v>
      </c>
      <c r="G715" t="str">
        <f>HYPERLINK("https://www.ncbi.nlm.nih.gov/nucleotide/CP041136.1?report=genbank&amp;log$=nucltop&amp;blast_rank=82&amp;RID=0RSTV4YX016","CP041136.1")</f>
        <v>CP041136.1</v>
      </c>
    </row>
    <row r="716" spans="1:7" x14ac:dyDescent="0.35">
      <c r="A716" t="s">
        <v>456</v>
      </c>
      <c r="B716">
        <v>130</v>
      </c>
      <c r="C716">
        <v>130</v>
      </c>
      <c r="D716" s="2">
        <v>0.42</v>
      </c>
      <c r="E716" s="3">
        <v>1.9999999999999999E-28</v>
      </c>
      <c r="F716">
        <v>33.33</v>
      </c>
      <c r="G716" t="str">
        <f>HYPERLINK("https://www.ncbi.nlm.nih.gov/nucleotide/XM_024858447.1?report=genbank&amp;log$=nucltop&amp;blast_rank=83&amp;RID=0RSTV4YX016","XM_024858447.1")</f>
        <v>XM_024858447.1</v>
      </c>
    </row>
    <row r="717" spans="1:7" x14ac:dyDescent="0.35">
      <c r="A717" t="s">
        <v>747</v>
      </c>
      <c r="B717">
        <v>130</v>
      </c>
      <c r="C717">
        <v>130</v>
      </c>
      <c r="D717" s="2">
        <v>0.43</v>
      </c>
      <c r="E717" s="3">
        <v>6.0000000000000001E-28</v>
      </c>
      <c r="F717">
        <v>33.18</v>
      </c>
      <c r="G717" t="str">
        <f>HYPERLINK("https://www.ncbi.nlm.nih.gov/nucleotide/CP028443.1?report=genbank&amp;log$=nucltop&amp;blast_rank=84&amp;RID=0RSTV4YX016","CP028443.1")</f>
        <v>CP028443.1</v>
      </c>
    </row>
    <row r="718" spans="1:7" x14ac:dyDescent="0.35">
      <c r="A718" t="s">
        <v>748</v>
      </c>
      <c r="B718">
        <v>130</v>
      </c>
      <c r="C718">
        <v>130</v>
      </c>
      <c r="D718" s="2">
        <v>0.43</v>
      </c>
      <c r="E718" s="3">
        <v>6.0000000000000001E-28</v>
      </c>
      <c r="F718">
        <v>33.18</v>
      </c>
      <c r="G718" t="str">
        <f>HYPERLINK("https://www.ncbi.nlm.nih.gov/nucleotide/CP028455.1?report=genbank&amp;log$=nucltop&amp;blast_rank=85&amp;RID=0RSTV4YX016","CP028455.1")</f>
        <v>CP028455.1</v>
      </c>
    </row>
    <row r="719" spans="1:7" x14ac:dyDescent="0.35">
      <c r="A719" t="s">
        <v>749</v>
      </c>
      <c r="B719">
        <v>130</v>
      </c>
      <c r="C719">
        <v>130</v>
      </c>
      <c r="D719" s="2">
        <v>0.43</v>
      </c>
      <c r="E719" s="3">
        <v>6.0000000000000001E-28</v>
      </c>
      <c r="F719">
        <v>33.18</v>
      </c>
      <c r="G719" t="str">
        <f>HYPERLINK("https://www.ncbi.nlm.nih.gov/nucleotide/HG934060.1?report=genbank&amp;log$=nucltop&amp;blast_rank=86&amp;RID=0RSTV4YX016","HG934060.1")</f>
        <v>HG934060.1</v>
      </c>
    </row>
    <row r="720" spans="1:7" x14ac:dyDescent="0.35">
      <c r="A720" t="s">
        <v>750</v>
      </c>
      <c r="B720">
        <v>130</v>
      </c>
      <c r="C720">
        <v>130</v>
      </c>
      <c r="D720" s="2">
        <v>0.43</v>
      </c>
      <c r="E720" s="3">
        <v>6.0000000000000001E-28</v>
      </c>
      <c r="F720">
        <v>33.18</v>
      </c>
      <c r="G720" t="str">
        <f>HYPERLINK("https://www.ncbi.nlm.nih.gov/nucleotide/CP028449.1?report=genbank&amp;log$=nucltop&amp;blast_rank=87&amp;RID=0RSTV4YX016","CP028449.1")</f>
        <v>CP028449.1</v>
      </c>
    </row>
    <row r="721" spans="1:7" x14ac:dyDescent="0.35">
      <c r="A721" t="s">
        <v>751</v>
      </c>
      <c r="B721">
        <v>130</v>
      </c>
      <c r="C721">
        <v>130</v>
      </c>
      <c r="D721" s="2">
        <v>0.43</v>
      </c>
      <c r="E721" s="3">
        <v>6.0000000000000001E-28</v>
      </c>
      <c r="F721">
        <v>33.18</v>
      </c>
      <c r="G721" t="str">
        <f>HYPERLINK("https://www.ncbi.nlm.nih.gov/nucleotide/CP017554.1?report=genbank&amp;log$=nucltop&amp;blast_rank=88&amp;RID=0RSTV4YX016","CP017554.1")</f>
        <v>CP017554.1</v>
      </c>
    </row>
    <row r="722" spans="1:7" x14ac:dyDescent="0.35">
      <c r="A722" t="s">
        <v>752</v>
      </c>
      <c r="B722">
        <v>130</v>
      </c>
      <c r="C722">
        <v>130</v>
      </c>
      <c r="D722" s="2">
        <v>0.43</v>
      </c>
      <c r="E722" s="3">
        <v>6.0000000000000001E-28</v>
      </c>
      <c r="F722">
        <v>33.18</v>
      </c>
      <c r="G722" t="str">
        <f>HYPERLINK("https://www.ncbi.nlm.nih.gov/nucleotide/CR382128.1?report=genbank&amp;log$=nucltop&amp;blast_rank=89&amp;RID=0RSTV4YX016","CR382128.1")</f>
        <v>CR382128.1</v>
      </c>
    </row>
    <row r="723" spans="1:7" x14ac:dyDescent="0.35">
      <c r="A723" t="s">
        <v>753</v>
      </c>
      <c r="B723">
        <v>130</v>
      </c>
      <c r="C723">
        <v>130</v>
      </c>
      <c r="D723" s="2">
        <v>0.43</v>
      </c>
      <c r="E723" s="3">
        <v>6.0000000000000001E-28</v>
      </c>
      <c r="F723">
        <v>33.18</v>
      </c>
      <c r="G723" t="str">
        <f>HYPERLINK("https://www.ncbi.nlm.nih.gov/nucleotide/CP061014.1?report=genbank&amp;log$=nucltop&amp;blast_rank=90&amp;RID=0RSTV4YX016","CP061014.1")</f>
        <v>CP061014.1</v>
      </c>
    </row>
    <row r="724" spans="1:7" x14ac:dyDescent="0.35">
      <c r="A724" t="s">
        <v>746</v>
      </c>
      <c r="B724">
        <v>130</v>
      </c>
      <c r="C724">
        <v>130</v>
      </c>
      <c r="D724" s="2">
        <v>0.43</v>
      </c>
      <c r="E724" s="3">
        <v>3E-28</v>
      </c>
      <c r="F724">
        <v>33.020000000000003</v>
      </c>
      <c r="G724" t="str">
        <f>HYPERLINK("https://www.ncbi.nlm.nih.gov/nucleotide/XM_501207.2?report=genbank&amp;log$=nucltop&amp;blast_rank=91&amp;RID=0RSTV4YX016","XM_501207.2")</f>
        <v>XM_501207.2</v>
      </c>
    </row>
    <row r="725" spans="1:7" x14ac:dyDescent="0.35">
      <c r="A725" t="s">
        <v>981</v>
      </c>
      <c r="B725">
        <v>129</v>
      </c>
      <c r="C725">
        <v>129</v>
      </c>
      <c r="D725" s="2">
        <v>0.43</v>
      </c>
      <c r="E725" s="3">
        <v>2.0000000000000001E-27</v>
      </c>
      <c r="F725">
        <v>32.880000000000003</v>
      </c>
      <c r="G725" t="str">
        <f>HYPERLINK("https://www.ncbi.nlm.nih.gov/nucleotide/CP050661.1?report=genbank&amp;log$=nucltop&amp;blast_rank=92&amp;RID=0RSTV4YX016","CP050661.1")</f>
        <v>CP050661.1</v>
      </c>
    </row>
    <row r="726" spans="1:7" x14ac:dyDescent="0.35">
      <c r="A726" t="s">
        <v>982</v>
      </c>
      <c r="B726">
        <v>129</v>
      </c>
      <c r="C726">
        <v>129</v>
      </c>
      <c r="D726" s="2">
        <v>0.43</v>
      </c>
      <c r="E726" s="3">
        <v>2.0000000000000001E-27</v>
      </c>
      <c r="F726">
        <v>32.880000000000003</v>
      </c>
      <c r="G726" t="str">
        <f>HYPERLINK("https://www.ncbi.nlm.nih.gov/nucleotide/CP043533.1?report=genbank&amp;log$=nucltop&amp;blast_rank=93&amp;RID=0RSTV4YX016","CP043533.1")</f>
        <v>CP043533.1</v>
      </c>
    </row>
    <row r="727" spans="1:7" x14ac:dyDescent="0.35">
      <c r="A727" t="s">
        <v>446</v>
      </c>
      <c r="B727">
        <v>130</v>
      </c>
      <c r="C727">
        <v>130</v>
      </c>
      <c r="D727" s="2">
        <v>0.43</v>
      </c>
      <c r="E727" s="3">
        <v>3.9999999999999999E-28</v>
      </c>
      <c r="F727">
        <v>32.729999999999997</v>
      </c>
      <c r="G727" t="str">
        <f>HYPERLINK("https://www.ncbi.nlm.nih.gov/nucleotide/XM_031999984.1?report=genbank&amp;log$=nucltop&amp;blast_rank=94&amp;RID=0RSTV4YX016","XM_031999984.1")</f>
        <v>XM_031999984.1</v>
      </c>
    </row>
    <row r="728" spans="1:7" x14ac:dyDescent="0.35">
      <c r="A728" t="s">
        <v>458</v>
      </c>
      <c r="B728">
        <v>130</v>
      </c>
      <c r="C728">
        <v>130</v>
      </c>
      <c r="D728" s="2">
        <v>0.43</v>
      </c>
      <c r="E728" s="3">
        <v>3.9999999999999999E-28</v>
      </c>
      <c r="F728">
        <v>32.549999999999997</v>
      </c>
      <c r="G728" t="str">
        <f>HYPERLINK("https://www.ncbi.nlm.nih.gov/nucleotide/XM_007373298.1?report=genbank&amp;log$=nucltop&amp;blast_rank=95&amp;RID=0RSTV4YX016","XM_007373298.1")</f>
        <v>XM_007373298.1</v>
      </c>
    </row>
    <row r="729" spans="1:7" x14ac:dyDescent="0.35">
      <c r="A729" t="s">
        <v>459</v>
      </c>
      <c r="B729">
        <v>126</v>
      </c>
      <c r="C729">
        <v>126</v>
      </c>
      <c r="D729" s="2">
        <v>0.42</v>
      </c>
      <c r="E729" s="3">
        <v>6.0000000000000002E-27</v>
      </c>
      <c r="F729">
        <v>32.24</v>
      </c>
      <c r="G729" t="str">
        <f>HYPERLINK("https://www.ncbi.nlm.nih.gov/nucleotide/XM_025485127.1?report=genbank&amp;log$=nucltop&amp;blast_rank=96&amp;RID=0RSTV4YX016","XM_025485127.1")</f>
        <v>XM_025485127.1</v>
      </c>
    </row>
    <row r="730" spans="1:7" x14ac:dyDescent="0.35">
      <c r="A730" t="s">
        <v>919</v>
      </c>
      <c r="B730">
        <v>149</v>
      </c>
      <c r="C730">
        <v>149</v>
      </c>
      <c r="D730" s="2">
        <v>0.44</v>
      </c>
      <c r="E730" s="3">
        <v>4E-35</v>
      </c>
      <c r="F730">
        <v>31.86</v>
      </c>
      <c r="G730" t="str">
        <f>HYPERLINK("https://www.ncbi.nlm.nih.gov/nucleotide/XM_019168748.1?report=genbank&amp;log$=nucltop&amp;blast_rank=97&amp;RID=0RSTV4YX016","XM_019168748.1")</f>
        <v>XM_019168748.1</v>
      </c>
    </row>
    <row r="731" spans="1:7" x14ac:dyDescent="0.35">
      <c r="A731" t="s">
        <v>983</v>
      </c>
      <c r="B731">
        <v>125</v>
      </c>
      <c r="C731">
        <v>125</v>
      </c>
      <c r="D731" s="2">
        <v>0.44</v>
      </c>
      <c r="E731" s="3">
        <v>2.0000000000000001E-26</v>
      </c>
      <c r="F731">
        <v>30.91</v>
      </c>
      <c r="G731" t="str">
        <f>HYPERLINK("https://www.ncbi.nlm.nih.gov/nucleotide/CP039551.1?report=genbank&amp;log$=nucltop&amp;blast_rank=98&amp;RID=0RSTV4YX016","CP039551.1")</f>
        <v>CP039551.1</v>
      </c>
    </row>
    <row r="732" spans="1:7" x14ac:dyDescent="0.35">
      <c r="A732" t="s">
        <v>984</v>
      </c>
      <c r="B732">
        <v>125</v>
      </c>
      <c r="C732">
        <v>125</v>
      </c>
      <c r="D732" s="2">
        <v>0.44</v>
      </c>
      <c r="E732" s="3">
        <v>2.0000000000000001E-26</v>
      </c>
      <c r="F732">
        <v>30.91</v>
      </c>
      <c r="G732" t="str">
        <f>HYPERLINK("https://www.ncbi.nlm.nih.gov/nucleotide/CP038485.1?report=genbank&amp;log$=nucltop&amp;blast_rank=99&amp;RID=0RSTV4YX016","CP038485.1")</f>
        <v>CP038485.1</v>
      </c>
    </row>
    <row r="733" spans="1:7" x14ac:dyDescent="0.35">
      <c r="A733" t="s">
        <v>755</v>
      </c>
      <c r="B733">
        <v>125</v>
      </c>
      <c r="C733">
        <v>125</v>
      </c>
      <c r="D733" s="2">
        <v>0.43</v>
      </c>
      <c r="E733" s="3">
        <v>1E-26</v>
      </c>
      <c r="F733">
        <v>29.63</v>
      </c>
      <c r="G733" t="str">
        <f>HYPERLINK("https://www.ncbi.nlm.nih.gov/nucleotide/XM_020209351.1?report=genbank&amp;log$=nucltop&amp;blast_rank=100&amp;RID=0RSTV4YX016","XM_020209351.1")</f>
        <v>XM_020209351.1</v>
      </c>
    </row>
    <row r="734" spans="1:7" x14ac:dyDescent="0.35">
      <c r="A734" s="1" t="s">
        <v>985</v>
      </c>
    </row>
    <row r="735" spans="1:7" x14ac:dyDescent="0.35">
      <c r="A735" s="1" t="s">
        <v>2</v>
      </c>
      <c r="B735" s="1" t="s">
        <v>3</v>
      </c>
      <c r="C735" s="1" t="s">
        <v>4</v>
      </c>
      <c r="D735" s="1" t="s">
        <v>5</v>
      </c>
      <c r="E735" s="1" t="s">
        <v>6</v>
      </c>
      <c r="F735" s="1" t="s">
        <v>7</v>
      </c>
      <c r="G735" s="1" t="s">
        <v>8</v>
      </c>
    </row>
    <row r="736" spans="1:7" x14ac:dyDescent="0.35">
      <c r="A736" t="s">
        <v>37</v>
      </c>
      <c r="B736">
        <v>435</v>
      </c>
      <c r="C736">
        <v>634</v>
      </c>
      <c r="D736" s="2">
        <v>0.97</v>
      </c>
      <c r="E736" s="3">
        <v>2.0000000000000001E-133</v>
      </c>
      <c r="F736">
        <v>64.5</v>
      </c>
      <c r="G736" t="str">
        <f>HYPERLINK("https://www.ncbi.nlm.nih.gov/nucleotide/LR732085.1?report=genbank&amp;log$=nucltop&amp;blast_rank=1&amp;RID=0RSVG5C1013","LR732085.1")</f>
        <v>LR732085.1</v>
      </c>
    </row>
    <row r="737" spans="1:7" x14ac:dyDescent="0.35">
      <c r="A737" t="s">
        <v>986</v>
      </c>
      <c r="B737">
        <v>333</v>
      </c>
      <c r="C737">
        <v>333</v>
      </c>
      <c r="D737" s="2">
        <v>0.92</v>
      </c>
      <c r="E737" s="3">
        <v>3.9999999999999999E-105</v>
      </c>
      <c r="F737">
        <v>44.44</v>
      </c>
      <c r="G737" t="str">
        <f>HYPERLINK("https://www.ncbi.nlm.nih.gov/nucleotide/XM_007870421.1?report=genbank&amp;log$=nucltop&amp;blast_rank=2&amp;RID=0RSVG5C1013","XM_007870421.1")</f>
        <v>XM_007870421.1</v>
      </c>
    </row>
    <row r="738" spans="1:7" x14ac:dyDescent="0.35">
      <c r="A738" t="s">
        <v>21</v>
      </c>
      <c r="B738">
        <v>362</v>
      </c>
      <c r="C738">
        <v>362</v>
      </c>
      <c r="D738" s="2">
        <v>0.96</v>
      </c>
      <c r="E738" s="3">
        <v>6.9999999999999997E-116</v>
      </c>
      <c r="F738">
        <v>43.84</v>
      </c>
      <c r="G738" t="str">
        <f>HYPERLINK("https://www.ncbi.nlm.nih.gov/nucleotide/XM_009549080.1?report=genbank&amp;log$=nucltop&amp;blast_rank=3&amp;RID=0RSVG5C1013","XM_009549080.1")</f>
        <v>XM_009549080.1</v>
      </c>
    </row>
    <row r="739" spans="1:7" x14ac:dyDescent="0.35">
      <c r="A739" t="s">
        <v>987</v>
      </c>
      <c r="B739">
        <v>351</v>
      </c>
      <c r="C739">
        <v>351</v>
      </c>
      <c r="D739" s="2">
        <v>0.96</v>
      </c>
      <c r="E739" s="3">
        <v>9.9999999999999998E-114</v>
      </c>
      <c r="F739">
        <v>43.76</v>
      </c>
      <c r="G739" t="str">
        <f>HYPERLINK("https://www.ncbi.nlm.nih.gov/nucleotide/XM_036776721.1?report=genbank&amp;log$=nucltop&amp;blast_rank=4&amp;RID=0RSVG5C1013","XM_036776721.1")</f>
        <v>XM_036776721.1</v>
      </c>
    </row>
    <row r="740" spans="1:7" x14ac:dyDescent="0.35">
      <c r="A740" s="4" t="s">
        <v>988</v>
      </c>
      <c r="B740" s="4">
        <v>355</v>
      </c>
      <c r="C740" s="4">
        <v>355</v>
      </c>
      <c r="D740" s="5">
        <v>0.94</v>
      </c>
      <c r="E740" s="6">
        <v>3.0000000000000002E-115</v>
      </c>
      <c r="F740" s="4">
        <v>43.09</v>
      </c>
      <c r="G740" s="4" t="str">
        <f>HYPERLINK("https://www.ncbi.nlm.nih.gov/nucleotide/XM_027760711.1?report=genbank&amp;log$=nucltop&amp;blast_rank=5&amp;RID=0RSVG5C1013","XM_027760711.1")</f>
        <v>XM_027760711.1</v>
      </c>
    </row>
    <row r="741" spans="1:7" x14ac:dyDescent="0.35">
      <c r="A741" s="4" t="s">
        <v>989</v>
      </c>
      <c r="B741" s="4">
        <v>365</v>
      </c>
      <c r="C741" s="4">
        <v>365</v>
      </c>
      <c r="D741" s="5">
        <v>0.96</v>
      </c>
      <c r="E741" s="6">
        <v>2E-119</v>
      </c>
      <c r="F741" s="4">
        <v>42.96</v>
      </c>
      <c r="G741" s="4" t="str">
        <f>HYPERLINK("https://www.ncbi.nlm.nih.gov/nucleotide/XM_007866045.1?report=genbank&amp;log$=nucltop&amp;blast_rank=6&amp;RID=0RSVG5C1013","XM_007866045.1")</f>
        <v>XM_007866045.1</v>
      </c>
    </row>
    <row r="742" spans="1:7" x14ac:dyDescent="0.35">
      <c r="A742" s="4" t="s">
        <v>990</v>
      </c>
      <c r="B742" s="4">
        <v>359</v>
      </c>
      <c r="C742" s="4">
        <v>359</v>
      </c>
      <c r="D742" s="5">
        <v>0.94</v>
      </c>
      <c r="E742" s="6">
        <v>5E-117</v>
      </c>
      <c r="F742" s="4">
        <v>42.96</v>
      </c>
      <c r="G742" s="4" t="str">
        <f>HYPERLINK("https://www.ncbi.nlm.nih.gov/nucleotide/XM_027760714.1?report=genbank&amp;log$=nucltop&amp;blast_rank=7&amp;RID=0RSVG5C1013","XM_027760714.1")</f>
        <v>XM_027760714.1</v>
      </c>
    </row>
    <row r="743" spans="1:7" x14ac:dyDescent="0.35">
      <c r="A743" s="4" t="s">
        <v>991</v>
      </c>
      <c r="B743" s="4">
        <v>267</v>
      </c>
      <c r="C743" s="4">
        <v>267</v>
      </c>
      <c r="D743" s="5">
        <v>0.83</v>
      </c>
      <c r="E743" s="6">
        <v>1.9999999999999999E-81</v>
      </c>
      <c r="F743" s="4">
        <v>42.58</v>
      </c>
      <c r="G743" s="4" t="str">
        <f>HYPERLINK("https://www.ncbi.nlm.nih.gov/nucleotide/XM_024850537.1?report=genbank&amp;log$=nucltop&amp;blast_rank=8&amp;RID=0RSVG5C1013","XM_024850537.1")</f>
        <v>XM_024850537.1</v>
      </c>
    </row>
    <row r="744" spans="1:7" x14ac:dyDescent="0.35">
      <c r="A744" t="s">
        <v>120</v>
      </c>
      <c r="B744">
        <v>357</v>
      </c>
      <c r="C744">
        <v>357</v>
      </c>
      <c r="D744" s="2">
        <v>0.95</v>
      </c>
      <c r="E744" s="3">
        <v>1E-108</v>
      </c>
      <c r="F744">
        <v>42.34</v>
      </c>
      <c r="G744" t="str">
        <f>HYPERLINK("https://www.ncbi.nlm.nih.gov/nucleotide/XM_012324203.1?report=genbank&amp;log$=nucltop&amp;blast_rank=9&amp;RID=0RSVG5C1013","XM_012324203.1")</f>
        <v>XM_012324203.1</v>
      </c>
    </row>
    <row r="745" spans="1:7" x14ac:dyDescent="0.35">
      <c r="A745" t="s">
        <v>992</v>
      </c>
      <c r="B745">
        <v>357</v>
      </c>
      <c r="C745">
        <v>357</v>
      </c>
      <c r="D745" s="2">
        <v>0.95</v>
      </c>
      <c r="E745" s="3">
        <v>4E-116</v>
      </c>
      <c r="F745">
        <v>42.32</v>
      </c>
      <c r="G745" t="str">
        <f>HYPERLINK("https://www.ncbi.nlm.nih.gov/nucleotide/XM_024485275.1?report=genbank&amp;log$=nucltop&amp;blast_rank=10&amp;RID=0RSVG5C1013","XM_024485275.1")</f>
        <v>XM_024485275.1</v>
      </c>
    </row>
    <row r="746" spans="1:7" x14ac:dyDescent="0.35">
      <c r="A746" t="s">
        <v>993</v>
      </c>
      <c r="B746">
        <v>360</v>
      </c>
      <c r="C746">
        <v>360</v>
      </c>
      <c r="D746" s="2">
        <v>0.98</v>
      </c>
      <c r="E746" s="3">
        <v>1.0000000000000001E-115</v>
      </c>
      <c r="F746">
        <v>42.29</v>
      </c>
      <c r="G746" t="str">
        <f>HYPERLINK("https://www.ncbi.nlm.nih.gov/nucleotide/XM_007317950.1?report=genbank&amp;log$=nucltop&amp;blast_rank=11&amp;RID=0RSVG5C1013","XM_007317950.1")</f>
        <v>XM_007317950.1</v>
      </c>
    </row>
    <row r="747" spans="1:7" x14ac:dyDescent="0.35">
      <c r="A747" t="s">
        <v>994</v>
      </c>
      <c r="B747">
        <v>354</v>
      </c>
      <c r="C747">
        <v>354</v>
      </c>
      <c r="D747" s="2">
        <v>0.98</v>
      </c>
      <c r="E747" s="3">
        <v>1.0000000000000001E-111</v>
      </c>
      <c r="F747">
        <v>42.28</v>
      </c>
      <c r="G747" t="str">
        <f>HYPERLINK("https://www.ncbi.nlm.nih.gov/nucleotide/XM_007392218.1?report=genbank&amp;log$=nucltop&amp;blast_rank=12&amp;RID=0RSVG5C1013","XM_007392218.1")</f>
        <v>XM_007392218.1</v>
      </c>
    </row>
    <row r="748" spans="1:7" x14ac:dyDescent="0.35">
      <c r="A748" t="s">
        <v>19</v>
      </c>
      <c r="B748">
        <v>345</v>
      </c>
      <c r="C748">
        <v>345</v>
      </c>
      <c r="D748" s="2">
        <v>0.94</v>
      </c>
      <c r="E748" s="3">
        <v>1.0000000000000001E-111</v>
      </c>
      <c r="F748">
        <v>42.2</v>
      </c>
      <c r="G748" t="str">
        <f>HYPERLINK("https://www.ncbi.nlm.nih.gov/nucleotide/XM_001884318.1?report=genbank&amp;log$=nucltop&amp;blast_rank=13&amp;RID=0RSVG5C1013","XM_001884318.1")</f>
        <v>XM_001884318.1</v>
      </c>
    </row>
    <row r="749" spans="1:7" x14ac:dyDescent="0.35">
      <c r="A749" s="4" t="s">
        <v>995</v>
      </c>
      <c r="B749" s="4">
        <v>338</v>
      </c>
      <c r="C749" s="4">
        <v>338</v>
      </c>
      <c r="D749" s="5">
        <v>0.89</v>
      </c>
      <c r="E749" s="6">
        <v>1E-107</v>
      </c>
      <c r="F749" s="4">
        <v>42.09</v>
      </c>
      <c r="G749" s="4" t="str">
        <f>HYPERLINK("https://www.ncbi.nlm.nih.gov/nucleotide/XM_007370831.1?report=genbank&amp;log$=nucltop&amp;blast_rank=14&amp;RID=0RSVG5C1013","XM_007370831.1")</f>
        <v>XM_007370831.1</v>
      </c>
    </row>
    <row r="750" spans="1:7" x14ac:dyDescent="0.35">
      <c r="A750" s="4" t="s">
        <v>996</v>
      </c>
      <c r="B750" s="4">
        <v>350</v>
      </c>
      <c r="C750" s="4">
        <v>350</v>
      </c>
      <c r="D750" s="5">
        <v>0.98</v>
      </c>
      <c r="E750" s="6">
        <v>9.9999999999999995E-113</v>
      </c>
      <c r="F750" s="4">
        <v>41.93</v>
      </c>
      <c r="G750" s="4" t="str">
        <f>HYPERLINK("https://www.ncbi.nlm.nih.gov/nucleotide/XM_007388230.1?report=genbank&amp;log$=nucltop&amp;blast_rank=15&amp;RID=0RSVG5C1013","XM_007388230.1")</f>
        <v>XM_007388230.1</v>
      </c>
    </row>
    <row r="751" spans="1:7" x14ac:dyDescent="0.35">
      <c r="A751" s="4" t="s">
        <v>997</v>
      </c>
      <c r="B751" s="4">
        <v>274</v>
      </c>
      <c r="C751" s="4">
        <v>274</v>
      </c>
      <c r="D751" s="5">
        <v>0.74</v>
      </c>
      <c r="E751" s="6">
        <v>6.9999999999999996E-85</v>
      </c>
      <c r="F751" s="4">
        <v>41.81</v>
      </c>
      <c r="G751" s="4" t="str">
        <f>HYPERLINK("https://www.ncbi.nlm.nih.gov/nucleotide/LR725421.1?report=genbank&amp;log$=nucltop&amp;blast_rank=16&amp;RID=0RSVG5C1013","LR725421.1")</f>
        <v>LR725421.1</v>
      </c>
    </row>
    <row r="752" spans="1:7" x14ac:dyDescent="0.35">
      <c r="A752" s="4" t="s">
        <v>998</v>
      </c>
      <c r="B752" s="4">
        <v>348</v>
      </c>
      <c r="C752" s="4">
        <v>348</v>
      </c>
      <c r="D752" s="5">
        <v>0.99</v>
      </c>
      <c r="E752" s="6">
        <v>1.0000000000000001E-110</v>
      </c>
      <c r="F752" s="4">
        <v>41.76</v>
      </c>
      <c r="G752" s="4" t="str">
        <f>HYPERLINK("https://www.ncbi.nlm.nih.gov/nucleotide/XM_007768376.1?report=genbank&amp;log$=nucltop&amp;blast_rank=17&amp;RID=0RSVG5C1013","XM_007768376.1")</f>
        <v>XM_007768376.1</v>
      </c>
    </row>
    <row r="753" spans="1:7" x14ac:dyDescent="0.35">
      <c r="A753" t="s">
        <v>19</v>
      </c>
      <c r="B753">
        <v>336</v>
      </c>
      <c r="C753">
        <v>336</v>
      </c>
      <c r="D753" s="2">
        <v>0.95</v>
      </c>
      <c r="E753" s="3">
        <v>8.0000000000000003E-108</v>
      </c>
      <c r="F753">
        <v>41.71</v>
      </c>
      <c r="G753" t="str">
        <f>HYPERLINK("https://www.ncbi.nlm.nih.gov/nucleotide/XM_001881635.1?report=genbank&amp;log$=nucltop&amp;blast_rank=18&amp;RID=0RSVG5C1013","XM_001881635.1")</f>
        <v>XM_001881635.1</v>
      </c>
    </row>
    <row r="754" spans="1:7" x14ac:dyDescent="0.35">
      <c r="A754" s="4" t="s">
        <v>999</v>
      </c>
      <c r="B754" s="4">
        <v>271</v>
      </c>
      <c r="C754" s="4">
        <v>271</v>
      </c>
      <c r="D754" s="5">
        <v>0.88</v>
      </c>
      <c r="E754" s="6">
        <v>1.9999999999999999E-82</v>
      </c>
      <c r="F754" s="4">
        <v>41.19</v>
      </c>
      <c r="G754" s="4" t="str">
        <f>HYPERLINK("https://www.ncbi.nlm.nih.gov/nucleotide/XM_025723384.1?report=genbank&amp;log$=nucltop&amp;blast_rank=19&amp;RID=0RSVG5C1013","XM_025723384.1")</f>
        <v>XM_025723384.1</v>
      </c>
    </row>
    <row r="755" spans="1:7" x14ac:dyDescent="0.35">
      <c r="A755" s="4" t="s">
        <v>1000</v>
      </c>
      <c r="B755" s="4">
        <v>271</v>
      </c>
      <c r="C755" s="4">
        <v>271</v>
      </c>
      <c r="D755" s="5">
        <v>0.88</v>
      </c>
      <c r="E755" s="6">
        <v>7.0000000000000006E-83</v>
      </c>
      <c r="F755" s="4">
        <v>41.07</v>
      </c>
      <c r="G755" s="4" t="str">
        <f>HYPERLINK("https://www.ncbi.nlm.nih.gov/nucleotide/XM_025607927.1?report=genbank&amp;log$=nucltop&amp;blast_rank=20&amp;RID=0RSVG5C1013","XM_025607927.1")</f>
        <v>XM_025607927.1</v>
      </c>
    </row>
    <row r="756" spans="1:7" x14ac:dyDescent="0.35">
      <c r="A756" s="4" t="s">
        <v>1001</v>
      </c>
      <c r="B756" s="4">
        <v>268</v>
      </c>
      <c r="C756" s="4">
        <v>268</v>
      </c>
      <c r="D756" s="5">
        <v>0.83</v>
      </c>
      <c r="E756" s="6">
        <v>5.9999999999999998E-82</v>
      </c>
      <c r="F756" s="4">
        <v>41.05</v>
      </c>
      <c r="G756" s="4" t="str">
        <f>HYPERLINK("https://www.ncbi.nlm.nih.gov/nucleotide/XM_025683498.1?report=genbank&amp;log$=nucltop&amp;blast_rank=21&amp;RID=0RSVG5C1013","XM_025683498.1")</f>
        <v>XM_025683498.1</v>
      </c>
    </row>
    <row r="757" spans="1:7" x14ac:dyDescent="0.35">
      <c r="A757" s="4" t="s">
        <v>1002</v>
      </c>
      <c r="B757" s="4">
        <v>266</v>
      </c>
      <c r="C757" s="4">
        <v>266</v>
      </c>
      <c r="D757" s="5">
        <v>0.83</v>
      </c>
      <c r="E757" s="6">
        <v>1.9999999999999999E-81</v>
      </c>
      <c r="F757" s="4">
        <v>41.05</v>
      </c>
      <c r="G757" s="4" t="str">
        <f>HYPERLINK("https://www.ncbi.nlm.nih.gov/nucleotide/XM_026770801.1?report=genbank&amp;log$=nucltop&amp;blast_rank=22&amp;RID=0RSVG5C1013","XM_026770801.1")</f>
        <v>XM_026770801.1</v>
      </c>
    </row>
    <row r="758" spans="1:7" x14ac:dyDescent="0.35">
      <c r="A758" s="4" t="s">
        <v>1003</v>
      </c>
      <c r="B758" s="4">
        <v>266</v>
      </c>
      <c r="C758" s="4">
        <v>266</v>
      </c>
      <c r="D758" s="5">
        <v>0.83</v>
      </c>
      <c r="E758" s="6">
        <v>9.9999999999999996E-81</v>
      </c>
      <c r="F758" s="4">
        <v>41.05</v>
      </c>
      <c r="G758" s="4" t="str">
        <f>HYPERLINK("https://www.ncbi.nlm.nih.gov/nucleotide/XM_001394280.2?report=genbank&amp;log$=nucltop&amp;blast_rank=23&amp;RID=0RSVG5C1013","XM_001394280.2")</f>
        <v>XM_001394280.2</v>
      </c>
    </row>
    <row r="759" spans="1:7" x14ac:dyDescent="0.35">
      <c r="A759" s="4" t="s">
        <v>1004</v>
      </c>
      <c r="B759" s="4">
        <v>265</v>
      </c>
      <c r="C759" s="4">
        <v>265</v>
      </c>
      <c r="D759" s="5">
        <v>0.83</v>
      </c>
      <c r="E759" s="6">
        <v>7.9999999999999997E-81</v>
      </c>
      <c r="F759" s="4">
        <v>40.93</v>
      </c>
      <c r="G759" s="4" t="str">
        <f>HYPERLINK("https://www.ncbi.nlm.nih.gov/nucleotide/XM_654393.1?report=genbank&amp;log$=nucltop&amp;blast_rank=24&amp;RID=0RSVG5C1013","XM_654393.1")</f>
        <v>XM_654393.1</v>
      </c>
    </row>
    <row r="760" spans="1:7" x14ac:dyDescent="0.35">
      <c r="A760" s="4" t="s">
        <v>989</v>
      </c>
      <c r="B760" s="4">
        <v>340</v>
      </c>
      <c r="C760" s="4">
        <v>340</v>
      </c>
      <c r="D760" s="5">
        <v>0.93</v>
      </c>
      <c r="E760" s="6">
        <v>9.9999999999999999E-110</v>
      </c>
      <c r="F760" s="4">
        <v>40.9</v>
      </c>
      <c r="G760" s="4" t="str">
        <f>HYPERLINK("https://www.ncbi.nlm.nih.gov/nucleotide/XM_007871899.1?report=genbank&amp;log$=nucltop&amp;blast_rank=25&amp;RID=0RSVG5C1013","XM_007871899.1")</f>
        <v>XM_007871899.1</v>
      </c>
    </row>
    <row r="761" spans="1:7" x14ac:dyDescent="0.35">
      <c r="A761" s="4" t="s">
        <v>1005</v>
      </c>
      <c r="B761" s="4">
        <v>266</v>
      </c>
      <c r="C761" s="4">
        <v>266</v>
      </c>
      <c r="D761" s="5">
        <v>0.83</v>
      </c>
      <c r="E761" s="6">
        <v>6.9999999999999997E-81</v>
      </c>
      <c r="F761" s="4">
        <v>40.770000000000003</v>
      </c>
      <c r="G761" s="4" t="str">
        <f>HYPERLINK("https://www.ncbi.nlm.nih.gov/nucleotide/XM_035501714.1?report=genbank&amp;log$=nucltop&amp;blast_rank=26&amp;RID=0RSVG5C1013","XM_035501714.1")</f>
        <v>XM_035501714.1</v>
      </c>
    </row>
    <row r="762" spans="1:7" x14ac:dyDescent="0.35">
      <c r="A762" s="4" t="s">
        <v>1006</v>
      </c>
      <c r="B762" s="4">
        <v>328</v>
      </c>
      <c r="C762" s="4">
        <v>328</v>
      </c>
      <c r="D762" s="5">
        <v>0.95</v>
      </c>
      <c r="E762" s="6">
        <v>9.9999999999999993E-105</v>
      </c>
      <c r="F762" s="4">
        <v>40.76</v>
      </c>
      <c r="G762" s="4" t="str">
        <f>HYPERLINK("https://www.ncbi.nlm.nih.gov/nucleotide/XM_007266223.1?report=genbank&amp;log$=nucltop&amp;blast_rank=27&amp;RID=0RSVG5C1013","XM_007266223.1")</f>
        <v>XM_007266223.1</v>
      </c>
    </row>
    <row r="763" spans="1:7" x14ac:dyDescent="0.35">
      <c r="A763" t="s">
        <v>1007</v>
      </c>
      <c r="B763">
        <v>262</v>
      </c>
      <c r="C763">
        <v>262</v>
      </c>
      <c r="D763" s="2">
        <v>0.9</v>
      </c>
      <c r="E763" s="3">
        <v>1E-79</v>
      </c>
      <c r="F763">
        <v>40.31</v>
      </c>
      <c r="G763" t="str">
        <f>HYPERLINK("https://www.ncbi.nlm.nih.gov/nucleotide/XM_033573109.1?report=genbank&amp;log$=nucltop&amp;blast_rank=28&amp;RID=0RSVG5C1013","XM_033573109.1")</f>
        <v>XM_033573109.1</v>
      </c>
    </row>
    <row r="764" spans="1:7" x14ac:dyDescent="0.35">
      <c r="A764" s="4" t="s">
        <v>1008</v>
      </c>
      <c r="B764" s="4">
        <v>335</v>
      </c>
      <c r="C764" s="4">
        <v>335</v>
      </c>
      <c r="D764" s="5">
        <v>0.94</v>
      </c>
      <c r="E764" s="6">
        <v>4.9999999999999997E-107</v>
      </c>
      <c r="F764" s="4">
        <v>40.270000000000003</v>
      </c>
      <c r="G764" s="4" t="str">
        <f>HYPERLINK("https://www.ncbi.nlm.nih.gov/nucleotide/XM_037368255.1?report=genbank&amp;log$=nucltop&amp;blast_rank=29&amp;RID=0RSVG5C1013","XM_037368255.1")</f>
        <v>XM_037368255.1</v>
      </c>
    </row>
    <row r="765" spans="1:7" x14ac:dyDescent="0.35">
      <c r="A765" s="4" t="s">
        <v>1009</v>
      </c>
      <c r="B765" s="4">
        <v>271</v>
      </c>
      <c r="C765" s="4">
        <v>271</v>
      </c>
      <c r="D765" s="5">
        <v>0.87</v>
      </c>
      <c r="E765" s="6">
        <v>4.0000000000000001E-83</v>
      </c>
      <c r="F765" s="4">
        <v>40.26</v>
      </c>
      <c r="G765" s="4" t="str">
        <f>HYPERLINK("https://www.ncbi.nlm.nih.gov/nucleotide/XM_025619185.1?report=genbank&amp;log$=nucltop&amp;blast_rank=30&amp;RID=0RSVG5C1013","XM_025619185.1")</f>
        <v>XM_025619185.1</v>
      </c>
    </row>
    <row r="766" spans="1:7" x14ac:dyDescent="0.35">
      <c r="A766" t="s">
        <v>1010</v>
      </c>
      <c r="B766">
        <v>349</v>
      </c>
      <c r="C766">
        <v>349</v>
      </c>
      <c r="D766" s="2">
        <v>0.95</v>
      </c>
      <c r="E766" s="3">
        <v>7.0000000000000006E-113</v>
      </c>
      <c r="F766">
        <v>40.18</v>
      </c>
      <c r="G766" t="str">
        <f>HYPERLINK("https://www.ncbi.nlm.nih.gov/nucleotide/XM_036781068.1?report=genbank&amp;log$=nucltop&amp;blast_rank=31&amp;RID=0RSVG5C1013","XM_036781068.1")</f>
        <v>XM_036781068.1</v>
      </c>
    </row>
    <row r="767" spans="1:7" x14ac:dyDescent="0.35">
      <c r="A767" s="4" t="s">
        <v>1011</v>
      </c>
      <c r="B767" s="4">
        <v>268</v>
      </c>
      <c r="C767" s="4">
        <v>268</v>
      </c>
      <c r="D767" s="5">
        <v>0.88</v>
      </c>
      <c r="E767" s="6">
        <v>8.9999999999999997E-82</v>
      </c>
      <c r="F767" s="4">
        <v>40.15</v>
      </c>
      <c r="G767" s="4" t="str">
        <f>HYPERLINK("https://www.ncbi.nlm.nih.gov/nucleotide/XM_032057277.1?report=genbank&amp;log$=nucltop&amp;blast_rank=32&amp;RID=0RSVG5C1013","XM_032057277.1")</f>
        <v>XM_032057277.1</v>
      </c>
    </row>
    <row r="768" spans="1:7" x14ac:dyDescent="0.35">
      <c r="A768" s="4" t="s">
        <v>1012</v>
      </c>
      <c r="B768" s="4">
        <v>264</v>
      </c>
      <c r="C768" s="4">
        <v>264</v>
      </c>
      <c r="D768" s="5">
        <v>0.86</v>
      </c>
      <c r="E768" s="6">
        <v>1E-78</v>
      </c>
      <c r="F768" s="4">
        <v>40.11</v>
      </c>
      <c r="G768" s="4" t="str">
        <f>HYPERLINK("https://www.ncbi.nlm.nih.gov/nucleotide/XM_032076481.1?report=genbank&amp;log$=nucltop&amp;blast_rank=33&amp;RID=0RSVG5C1013","XM_032076481.1")</f>
        <v>XM_032076481.1</v>
      </c>
    </row>
    <row r="769" spans="1:7" x14ac:dyDescent="0.35">
      <c r="A769" t="s">
        <v>1013</v>
      </c>
      <c r="B769">
        <v>268</v>
      </c>
      <c r="C769">
        <v>268</v>
      </c>
      <c r="D769" s="2">
        <v>0.91</v>
      </c>
      <c r="E769" s="3">
        <v>9.9999999999999996E-82</v>
      </c>
      <c r="F769">
        <v>40.049999999999997</v>
      </c>
      <c r="G769" t="str">
        <f>HYPERLINK("https://www.ncbi.nlm.nih.gov/nucleotide/XM_035489053.1?report=genbank&amp;log$=nucltop&amp;blast_rank=34&amp;RID=0RSVG5C1013","XM_035489053.1")</f>
        <v>XM_035489053.1</v>
      </c>
    </row>
    <row r="770" spans="1:7" x14ac:dyDescent="0.35">
      <c r="A770" t="s">
        <v>120</v>
      </c>
      <c r="B770">
        <v>338</v>
      </c>
      <c r="C770">
        <v>338</v>
      </c>
      <c r="D770" s="2">
        <v>0.95</v>
      </c>
      <c r="E770" s="3">
        <v>1E-108</v>
      </c>
      <c r="F770">
        <v>40</v>
      </c>
      <c r="G770" t="str">
        <f>HYPERLINK("https://www.ncbi.nlm.nih.gov/nucleotide/XM_012329966.1?report=genbank&amp;log$=nucltop&amp;blast_rank=35&amp;RID=0RSVG5C1013","XM_012329966.1")</f>
        <v>XM_012329966.1</v>
      </c>
    </row>
    <row r="771" spans="1:7" x14ac:dyDescent="0.35">
      <c r="A771" t="s">
        <v>1014</v>
      </c>
      <c r="B771">
        <v>268</v>
      </c>
      <c r="C771">
        <v>268</v>
      </c>
      <c r="D771" s="2">
        <v>0.87</v>
      </c>
      <c r="E771" s="3">
        <v>4.9999999999999998E-82</v>
      </c>
      <c r="F771">
        <v>40</v>
      </c>
      <c r="G771" t="str">
        <f>HYPERLINK("https://www.ncbi.nlm.nih.gov/nucleotide/XM_025594414.1?report=genbank&amp;log$=nucltop&amp;blast_rank=36&amp;RID=0RSVG5C1013","XM_025594414.1")</f>
        <v>XM_025594414.1</v>
      </c>
    </row>
    <row r="772" spans="1:7" x14ac:dyDescent="0.35">
      <c r="A772" t="s">
        <v>1015</v>
      </c>
      <c r="B772">
        <v>273</v>
      </c>
      <c r="C772">
        <v>273</v>
      </c>
      <c r="D772" s="2">
        <v>0.89</v>
      </c>
      <c r="E772" s="3">
        <v>2.0000000000000001E-83</v>
      </c>
      <c r="F772">
        <v>39.950000000000003</v>
      </c>
      <c r="G772" t="str">
        <f>HYPERLINK("https://www.ncbi.nlm.nih.gov/nucleotide/XM_026746769.1?report=genbank&amp;log$=nucltop&amp;blast_rank=37&amp;RID=0RSVG5C1013","XM_026746769.1")</f>
        <v>XM_026746769.1</v>
      </c>
    </row>
    <row r="773" spans="1:7" x14ac:dyDescent="0.35">
      <c r="A773" t="s">
        <v>1016</v>
      </c>
      <c r="B773">
        <v>254</v>
      </c>
      <c r="C773">
        <v>254</v>
      </c>
      <c r="D773" s="2">
        <v>0.83</v>
      </c>
      <c r="E773" s="3">
        <v>3.0000000000000002E-76</v>
      </c>
      <c r="F773">
        <v>39.840000000000003</v>
      </c>
      <c r="G773" t="str">
        <f>HYPERLINK("https://www.ncbi.nlm.nih.gov/nucleotide/XM_025696146.1?report=genbank&amp;log$=nucltop&amp;blast_rank=38&amp;RID=0RSVG5C1013","XM_025696146.1")</f>
        <v>XM_025696146.1</v>
      </c>
    </row>
    <row r="774" spans="1:7" x14ac:dyDescent="0.35">
      <c r="A774" s="4" t="s">
        <v>1017</v>
      </c>
      <c r="B774" s="4">
        <v>355</v>
      </c>
      <c r="C774" s="4">
        <v>355</v>
      </c>
      <c r="D774" s="5">
        <v>0.98</v>
      </c>
      <c r="E774" s="6">
        <v>1.9999999999999999E-112</v>
      </c>
      <c r="F774" s="4">
        <v>39.64</v>
      </c>
      <c r="G774" s="4" t="str">
        <f>HYPERLINK("https://www.ncbi.nlm.nih.gov/nucleotide/XM_008046400.1?report=genbank&amp;log$=nucltop&amp;blast_rank=39&amp;RID=0RSVG5C1013","XM_008046400.1")</f>
        <v>XM_008046400.1</v>
      </c>
    </row>
    <row r="775" spans="1:7" x14ac:dyDescent="0.35">
      <c r="A775" t="s">
        <v>1018</v>
      </c>
      <c r="B775">
        <v>256</v>
      </c>
      <c r="C775">
        <v>256</v>
      </c>
      <c r="D775" s="2">
        <v>0.88</v>
      </c>
      <c r="E775" s="3">
        <v>6.0000000000000003E-77</v>
      </c>
      <c r="F775">
        <v>39.33</v>
      </c>
      <c r="G775" t="str">
        <f>HYPERLINK("https://www.ncbi.nlm.nih.gov/nucleotide/XM_032044673.1?report=genbank&amp;log$=nucltop&amp;blast_rank=40&amp;RID=0RSVG5C1013","XM_032044673.1")</f>
        <v>XM_032044673.1</v>
      </c>
    </row>
    <row r="776" spans="1:7" x14ac:dyDescent="0.35">
      <c r="A776" t="s">
        <v>1019</v>
      </c>
      <c r="B776">
        <v>310</v>
      </c>
      <c r="C776">
        <v>310</v>
      </c>
      <c r="D776" s="2">
        <v>0.93</v>
      </c>
      <c r="E776" s="3">
        <v>1E-97</v>
      </c>
      <c r="F776">
        <v>39.26</v>
      </c>
      <c r="G776" t="str">
        <f>HYPERLINK("https://www.ncbi.nlm.nih.gov/nucleotide/XM_007269626.1?report=genbank&amp;log$=nucltop&amp;blast_rank=41&amp;RID=0RSVG5C1013","XM_007269626.1")</f>
        <v>XM_007269626.1</v>
      </c>
    </row>
    <row r="777" spans="1:7" x14ac:dyDescent="0.35">
      <c r="A777" t="s">
        <v>1020</v>
      </c>
      <c r="B777">
        <v>262</v>
      </c>
      <c r="C777">
        <v>262</v>
      </c>
      <c r="D777" s="2">
        <v>0.9</v>
      </c>
      <c r="E777" s="3">
        <v>6.0000000000000003E-77</v>
      </c>
      <c r="F777">
        <v>39.200000000000003</v>
      </c>
      <c r="G777" t="str">
        <f>HYPERLINK("https://www.ncbi.nlm.nih.gov/nucleotide/XM_015553318.1?report=genbank&amp;log$=nucltop&amp;blast_rank=42&amp;RID=0RSVG5C1013","XM_015553318.1")</f>
        <v>XM_015553318.1</v>
      </c>
    </row>
    <row r="778" spans="1:7" x14ac:dyDescent="0.35">
      <c r="A778" t="s">
        <v>1021</v>
      </c>
      <c r="B778">
        <v>255</v>
      </c>
      <c r="C778">
        <v>255</v>
      </c>
      <c r="D778" s="2">
        <v>0.89</v>
      </c>
      <c r="E778" s="3">
        <v>7.0000000000000003E-77</v>
      </c>
      <c r="F778">
        <v>39.090000000000003</v>
      </c>
      <c r="G778" t="str">
        <f>HYPERLINK("https://www.ncbi.nlm.nih.gov/nucleotide/XM_039073558.1?report=genbank&amp;log$=nucltop&amp;blast_rank=43&amp;RID=0RSVG5C1013","XM_039073558.1")</f>
        <v>XM_039073558.1</v>
      </c>
    </row>
    <row r="779" spans="1:7" x14ac:dyDescent="0.35">
      <c r="A779" t="s">
        <v>146</v>
      </c>
      <c r="B779">
        <v>261</v>
      </c>
      <c r="C779">
        <v>261</v>
      </c>
      <c r="D779" s="2">
        <v>0.83</v>
      </c>
      <c r="E779" s="3">
        <v>2E-78</v>
      </c>
      <c r="F779">
        <v>39.07</v>
      </c>
      <c r="G779" t="str">
        <f>HYPERLINK("https://www.ncbi.nlm.nih.gov/nucleotide/XM_016390431.1?report=genbank&amp;log$=nucltop&amp;blast_rank=44&amp;RID=0RSVG5C1013","XM_016390431.1")</f>
        <v>XM_016390431.1</v>
      </c>
    </row>
    <row r="780" spans="1:7" x14ac:dyDescent="0.35">
      <c r="A780" t="s">
        <v>1022</v>
      </c>
      <c r="B780">
        <v>254</v>
      </c>
      <c r="C780">
        <v>254</v>
      </c>
      <c r="D780" s="2">
        <v>0.86</v>
      </c>
      <c r="E780" s="3">
        <v>3.0000000000000002E-76</v>
      </c>
      <c r="F780">
        <v>39.06</v>
      </c>
      <c r="G780" t="str">
        <f>HYPERLINK("https://www.ncbi.nlm.nih.gov/nucleotide/XM_032018206.1?report=genbank&amp;log$=nucltop&amp;blast_rank=45&amp;RID=0RSVG5C1013","XM_032018206.1")</f>
        <v>XM_032018206.1</v>
      </c>
    </row>
    <row r="781" spans="1:7" x14ac:dyDescent="0.35">
      <c r="A781" t="s">
        <v>146</v>
      </c>
      <c r="B781">
        <v>255</v>
      </c>
      <c r="C781">
        <v>255</v>
      </c>
      <c r="D781" s="2">
        <v>0.88</v>
      </c>
      <c r="E781" s="3">
        <v>4.9999999999999998E-76</v>
      </c>
      <c r="F781">
        <v>38.99</v>
      </c>
      <c r="G781" t="str">
        <f>HYPERLINK("https://www.ncbi.nlm.nih.gov/nucleotide/XM_016389801.1?report=genbank&amp;log$=nucltop&amp;blast_rank=46&amp;RID=0RSVG5C1013","XM_016389801.1")</f>
        <v>XM_016389801.1</v>
      </c>
    </row>
    <row r="782" spans="1:7" x14ac:dyDescent="0.35">
      <c r="A782" t="s">
        <v>1023</v>
      </c>
      <c r="B782">
        <v>261</v>
      </c>
      <c r="C782">
        <v>261</v>
      </c>
      <c r="D782" s="2">
        <v>0.91</v>
      </c>
      <c r="E782" s="3">
        <v>7.0000000000000006E-79</v>
      </c>
      <c r="F782">
        <v>38.94</v>
      </c>
      <c r="G782" t="str">
        <f>HYPERLINK("https://www.ncbi.nlm.nih.gov/nucleotide/XM_022528035.1?report=genbank&amp;log$=nucltop&amp;blast_rank=47&amp;RID=0RSVG5C1013","XM_022528035.1")</f>
        <v>XM_022528035.1</v>
      </c>
    </row>
    <row r="783" spans="1:7" x14ac:dyDescent="0.35">
      <c r="A783" t="s">
        <v>1024</v>
      </c>
      <c r="B783">
        <v>280</v>
      </c>
      <c r="C783">
        <v>280</v>
      </c>
      <c r="D783" s="2">
        <v>0.96</v>
      </c>
      <c r="E783" s="3">
        <v>3.0000000000000002E-85</v>
      </c>
      <c r="F783">
        <v>38.86</v>
      </c>
      <c r="G783" t="str">
        <f>HYPERLINK("https://www.ncbi.nlm.nih.gov/nucleotide/XM_025529024.1?report=genbank&amp;log$=nucltop&amp;blast_rank=48&amp;RID=0RSVG5C1013","XM_025529024.1")</f>
        <v>XM_025529024.1</v>
      </c>
    </row>
    <row r="784" spans="1:7" x14ac:dyDescent="0.35">
      <c r="A784" t="s">
        <v>1025</v>
      </c>
      <c r="B784">
        <v>270</v>
      </c>
      <c r="C784">
        <v>270</v>
      </c>
      <c r="D784" s="2">
        <v>0.92</v>
      </c>
      <c r="E784" s="3">
        <v>1.9999999999999999E-82</v>
      </c>
      <c r="F784">
        <v>38.82</v>
      </c>
      <c r="G784" t="str">
        <f>HYPERLINK("https://www.ncbi.nlm.nih.gov/nucleotide/XM_025703188.1?report=genbank&amp;log$=nucltop&amp;blast_rank=49&amp;RID=0RSVG5C1013","XM_025703188.1")</f>
        <v>XM_025703188.1</v>
      </c>
    </row>
    <row r="785" spans="1:7" x14ac:dyDescent="0.35">
      <c r="A785" t="s">
        <v>148</v>
      </c>
      <c r="B785">
        <v>258</v>
      </c>
      <c r="C785">
        <v>258</v>
      </c>
      <c r="D785" s="2">
        <v>0.83</v>
      </c>
      <c r="E785" s="3">
        <v>5.9999999999999998E-78</v>
      </c>
      <c r="F785">
        <v>38.799999999999997</v>
      </c>
      <c r="G785" t="str">
        <f>HYPERLINK("https://www.ncbi.nlm.nih.gov/nucleotide/XM_016761695.1?report=genbank&amp;log$=nucltop&amp;blast_rank=50&amp;RID=0RSVG5C1013","XM_016761695.1")</f>
        <v>XM_016761695.1</v>
      </c>
    </row>
    <row r="786" spans="1:7" x14ac:dyDescent="0.35">
      <c r="A786" t="s">
        <v>1026</v>
      </c>
      <c r="B786">
        <v>268</v>
      </c>
      <c r="C786">
        <v>268</v>
      </c>
      <c r="D786" s="2">
        <v>0.88</v>
      </c>
      <c r="E786" s="3">
        <v>1.9999999999999999E-80</v>
      </c>
      <c r="F786">
        <v>38.79</v>
      </c>
      <c r="G786" t="str">
        <f>HYPERLINK("https://www.ncbi.nlm.nih.gov/nucleotide/XM_033718478.1?report=genbank&amp;log$=nucltop&amp;blast_rank=51&amp;RID=0RSVG5C1013","XM_033718478.1")</f>
        <v>XM_033718478.1</v>
      </c>
    </row>
    <row r="787" spans="1:7" x14ac:dyDescent="0.35">
      <c r="A787" t="s">
        <v>1027</v>
      </c>
      <c r="B787">
        <v>311</v>
      </c>
      <c r="C787">
        <v>311</v>
      </c>
      <c r="D787" s="2">
        <v>0.96</v>
      </c>
      <c r="E787" s="3">
        <v>1E-97</v>
      </c>
      <c r="F787">
        <v>38.770000000000003</v>
      </c>
      <c r="G787" t="str">
        <f>HYPERLINK("https://www.ncbi.nlm.nih.gov/nucleotide/XM_007309940.1?report=genbank&amp;log$=nucltop&amp;blast_rank=52&amp;RID=0RSVG5C1013","XM_007309940.1")</f>
        <v>XM_007309940.1</v>
      </c>
    </row>
    <row r="788" spans="1:7" x14ac:dyDescent="0.35">
      <c r="A788" t="s">
        <v>1028</v>
      </c>
      <c r="B788">
        <v>269</v>
      </c>
      <c r="C788">
        <v>269</v>
      </c>
      <c r="D788" s="2">
        <v>0.93</v>
      </c>
      <c r="E788" s="3">
        <v>9.0000000000000006E-81</v>
      </c>
      <c r="F788">
        <v>38.729999999999997</v>
      </c>
      <c r="G788" t="str">
        <f>HYPERLINK("https://www.ncbi.nlm.nih.gov/nucleotide/XM_025655341.1?report=genbank&amp;log$=nucltop&amp;blast_rank=53&amp;RID=0RSVG5C1013","XM_025655341.1")</f>
        <v>XM_025655341.1</v>
      </c>
    </row>
    <row r="789" spans="1:7" x14ac:dyDescent="0.35">
      <c r="A789" t="s">
        <v>1029</v>
      </c>
      <c r="B789">
        <v>284</v>
      </c>
      <c r="C789">
        <v>284</v>
      </c>
      <c r="D789" s="2">
        <v>0.87</v>
      </c>
      <c r="E789" s="3">
        <v>6.9999999999999996E-85</v>
      </c>
      <c r="F789">
        <v>38.64</v>
      </c>
      <c r="G789" t="str">
        <f>HYPERLINK("https://www.ncbi.nlm.nih.gov/nucleotide/XM_007271146.1?report=genbank&amp;log$=nucltop&amp;blast_rank=54&amp;RID=0RSVG5C1013","XM_007271146.1")</f>
        <v>XM_007271146.1</v>
      </c>
    </row>
    <row r="790" spans="1:7" x14ac:dyDescent="0.35">
      <c r="A790" t="s">
        <v>21</v>
      </c>
      <c r="B790">
        <v>310</v>
      </c>
      <c r="C790">
        <v>310</v>
      </c>
      <c r="D790" s="2">
        <v>0.96</v>
      </c>
      <c r="E790" s="3">
        <v>3.0000000000000001E-96</v>
      </c>
      <c r="F790">
        <v>38.61</v>
      </c>
      <c r="G790" t="str">
        <f>HYPERLINK("https://www.ncbi.nlm.nih.gov/nucleotide/XM_009552917.1?report=genbank&amp;log$=nucltop&amp;blast_rank=55&amp;RID=0RSVG5C1013","XM_009552917.1")</f>
        <v>XM_009552917.1</v>
      </c>
    </row>
    <row r="791" spans="1:7" x14ac:dyDescent="0.35">
      <c r="A791" t="s">
        <v>1030</v>
      </c>
      <c r="B791">
        <v>256</v>
      </c>
      <c r="C791">
        <v>256</v>
      </c>
      <c r="D791" s="2">
        <v>0.9</v>
      </c>
      <c r="E791" s="3">
        <v>3.9999999999999997E-77</v>
      </c>
      <c r="F791">
        <v>38.58</v>
      </c>
      <c r="G791" t="str">
        <f>HYPERLINK("https://www.ncbi.nlm.nih.gov/nucleotide/XM_022635796.1?report=genbank&amp;log$=nucltop&amp;blast_rank=56&amp;RID=0RSVG5C1013","XM_022635796.1")</f>
        <v>XM_022635796.1</v>
      </c>
    </row>
    <row r="792" spans="1:7" x14ac:dyDescent="0.35">
      <c r="A792" t="s">
        <v>156</v>
      </c>
      <c r="B792">
        <v>257</v>
      </c>
      <c r="C792">
        <v>257</v>
      </c>
      <c r="D792" s="2">
        <v>0.83</v>
      </c>
      <c r="E792" s="3">
        <v>1.9999999999999999E-77</v>
      </c>
      <c r="F792">
        <v>38.520000000000003</v>
      </c>
      <c r="G792" t="str">
        <f>HYPERLINK("https://www.ncbi.nlm.nih.gov/nucleotide/XM_013433959.1?report=genbank&amp;log$=nucltop&amp;blast_rank=57&amp;RID=0RSVG5C1013","XM_013433959.1")</f>
        <v>XM_013433959.1</v>
      </c>
    </row>
    <row r="793" spans="1:7" x14ac:dyDescent="0.35">
      <c r="A793" t="s">
        <v>1031</v>
      </c>
      <c r="B793">
        <v>256</v>
      </c>
      <c r="C793">
        <v>256</v>
      </c>
      <c r="D793" s="2">
        <v>0.92</v>
      </c>
      <c r="E793" s="3">
        <v>1.9999999999999999E-76</v>
      </c>
      <c r="F793">
        <v>38.369999999999997</v>
      </c>
      <c r="G793" t="str">
        <f>HYPERLINK("https://www.ncbi.nlm.nih.gov/nucleotide/XM_018842987.1?report=genbank&amp;log$=nucltop&amp;blast_rank=58&amp;RID=0RSVG5C1013","XM_018842987.1")</f>
        <v>XM_018842987.1</v>
      </c>
    </row>
    <row r="794" spans="1:7" x14ac:dyDescent="0.35">
      <c r="A794" t="s">
        <v>1032</v>
      </c>
      <c r="B794">
        <v>254</v>
      </c>
      <c r="C794">
        <v>254</v>
      </c>
      <c r="D794" s="2">
        <v>0.83</v>
      </c>
      <c r="E794" s="3">
        <v>1.9999999999999999E-76</v>
      </c>
      <c r="F794">
        <v>38.25</v>
      </c>
      <c r="G794" t="str">
        <f>HYPERLINK("https://www.ncbi.nlm.nih.gov/nucleotide/XM_022655758.1?report=genbank&amp;log$=nucltop&amp;blast_rank=59&amp;RID=0RSVG5C1013","XM_022655758.1")</f>
        <v>XM_022655758.1</v>
      </c>
    </row>
    <row r="795" spans="1:7" x14ac:dyDescent="0.35">
      <c r="A795" t="s">
        <v>148</v>
      </c>
      <c r="B795">
        <v>255</v>
      </c>
      <c r="C795">
        <v>255</v>
      </c>
      <c r="D795" s="2">
        <v>0.94</v>
      </c>
      <c r="E795" s="3">
        <v>3.0000000000000002E-76</v>
      </c>
      <c r="F795">
        <v>38.21</v>
      </c>
      <c r="G795" t="str">
        <f>HYPERLINK("https://www.ncbi.nlm.nih.gov/nucleotide/XM_016762536.1?report=genbank&amp;log$=nucltop&amp;blast_rank=60&amp;RID=0RSVG5C1013","XM_016762536.1")</f>
        <v>XM_016762536.1</v>
      </c>
    </row>
    <row r="796" spans="1:7" x14ac:dyDescent="0.35">
      <c r="A796" t="s">
        <v>1033</v>
      </c>
      <c r="B796">
        <v>276</v>
      </c>
      <c r="C796">
        <v>276</v>
      </c>
      <c r="D796" s="2">
        <v>0.91</v>
      </c>
      <c r="E796" s="3">
        <v>1E-83</v>
      </c>
      <c r="F796">
        <v>38.200000000000003</v>
      </c>
      <c r="G796" t="str">
        <f>HYPERLINK("https://www.ncbi.nlm.nih.gov/nucleotide/XM_003032284.1?report=genbank&amp;log$=nucltop&amp;blast_rank=61&amp;RID=0RSVG5C1013","XM_003032284.1")</f>
        <v>XM_003032284.1</v>
      </c>
    </row>
    <row r="797" spans="1:7" x14ac:dyDescent="0.35">
      <c r="A797" t="s">
        <v>1034</v>
      </c>
      <c r="B797">
        <v>307</v>
      </c>
      <c r="C797">
        <v>307</v>
      </c>
      <c r="D797" s="2">
        <v>0.96</v>
      </c>
      <c r="E797" s="3">
        <v>9.9999999999999991E-97</v>
      </c>
      <c r="F797">
        <v>38.19</v>
      </c>
      <c r="G797" t="str">
        <f>HYPERLINK("https://www.ncbi.nlm.nih.gov/nucleotide/XM_024485735.1?report=genbank&amp;log$=nucltop&amp;blast_rank=62&amp;RID=0RSVG5C1013","XM_024485735.1")</f>
        <v>XM_024485735.1</v>
      </c>
    </row>
    <row r="798" spans="1:7" x14ac:dyDescent="0.35">
      <c r="A798" t="s">
        <v>1035</v>
      </c>
      <c r="B798">
        <v>273</v>
      </c>
      <c r="C798">
        <v>273</v>
      </c>
      <c r="D798" s="2">
        <v>0.95</v>
      </c>
      <c r="E798" s="3">
        <v>4.9999999999999998E-83</v>
      </c>
      <c r="F798">
        <v>37.979999999999997</v>
      </c>
      <c r="G798" t="str">
        <f>HYPERLINK("https://www.ncbi.nlm.nih.gov/nucleotide/XM_007269860.1?report=genbank&amp;log$=nucltop&amp;blast_rank=63&amp;RID=0RSVG5C1013","XM_007269860.1")</f>
        <v>XM_007269860.1</v>
      </c>
    </row>
    <row r="799" spans="1:7" x14ac:dyDescent="0.35">
      <c r="A799" t="s">
        <v>1036</v>
      </c>
      <c r="B799">
        <v>256</v>
      </c>
      <c r="C799">
        <v>256</v>
      </c>
      <c r="D799" s="2">
        <v>0.96</v>
      </c>
      <c r="E799" s="3">
        <v>9.9999999999999993E-77</v>
      </c>
      <c r="F799">
        <v>37.93</v>
      </c>
      <c r="G799" t="str">
        <f>HYPERLINK("https://www.ncbi.nlm.nih.gov/nucleotide/XM_018841636.1?report=genbank&amp;log$=nucltop&amp;blast_rank=64&amp;RID=0RSVG5C1013","XM_018841636.1")</f>
        <v>XM_018841636.1</v>
      </c>
    </row>
    <row r="800" spans="1:7" x14ac:dyDescent="0.35">
      <c r="A800" t="s">
        <v>1037</v>
      </c>
      <c r="B800">
        <v>261</v>
      </c>
      <c r="C800">
        <v>261</v>
      </c>
      <c r="D800" s="2">
        <v>0.86</v>
      </c>
      <c r="E800" s="3">
        <v>6E-79</v>
      </c>
      <c r="F800">
        <v>37.89</v>
      </c>
      <c r="G800" t="str">
        <f>HYPERLINK("https://www.ncbi.nlm.nih.gov/nucleotide/XM_007785937.1?report=genbank&amp;log$=nucltop&amp;blast_rank=65&amp;RID=0RSVG5C1013","XM_007785937.1")</f>
        <v>XM_007785937.1</v>
      </c>
    </row>
    <row r="801" spans="1:7" x14ac:dyDescent="0.35">
      <c r="A801" t="s">
        <v>147</v>
      </c>
      <c r="B801">
        <v>256</v>
      </c>
      <c r="C801">
        <v>256</v>
      </c>
      <c r="D801" s="2">
        <v>0.96</v>
      </c>
      <c r="E801" s="3">
        <v>7.9999999999999994E-77</v>
      </c>
      <c r="F801">
        <v>37.79</v>
      </c>
      <c r="G801" t="str">
        <f>HYPERLINK("https://www.ncbi.nlm.nih.gov/nucleotide/XM_007746539.1?report=genbank&amp;log$=nucltop&amp;blast_rank=66&amp;RID=0RSVG5C1013","XM_007746539.1")</f>
        <v>XM_007746539.1</v>
      </c>
    </row>
    <row r="802" spans="1:7" x14ac:dyDescent="0.35">
      <c r="A802" t="s">
        <v>254</v>
      </c>
      <c r="B802">
        <v>254</v>
      </c>
      <c r="C802">
        <v>254</v>
      </c>
      <c r="D802" s="2">
        <v>0.87</v>
      </c>
      <c r="E802" s="3">
        <v>3.0000000000000002E-76</v>
      </c>
      <c r="F802">
        <v>37.53</v>
      </c>
      <c r="G802" t="str">
        <f>HYPERLINK("https://www.ncbi.nlm.nih.gov/nucleotide/XM_018274493.1?report=genbank&amp;log$=nucltop&amp;blast_rank=67&amp;RID=0RSVG5C1013","XM_018274493.1")</f>
        <v>XM_018274493.1</v>
      </c>
    </row>
    <row r="803" spans="1:7" x14ac:dyDescent="0.35">
      <c r="A803" t="s">
        <v>1038</v>
      </c>
      <c r="B803">
        <v>259</v>
      </c>
      <c r="C803">
        <v>259</v>
      </c>
      <c r="D803" s="2">
        <v>0.93</v>
      </c>
      <c r="E803" s="3">
        <v>2.9999999999999999E-78</v>
      </c>
      <c r="F803">
        <v>37.53</v>
      </c>
      <c r="G803" t="str">
        <f>HYPERLINK("https://www.ncbi.nlm.nih.gov/nucleotide/XM_007727169.1?report=genbank&amp;log$=nucltop&amp;blast_rank=68&amp;RID=0RSVG5C1013","XM_007727169.1")</f>
        <v>XM_007727169.1</v>
      </c>
    </row>
    <row r="804" spans="1:7" x14ac:dyDescent="0.35">
      <c r="A804" t="s">
        <v>1039</v>
      </c>
      <c r="B804">
        <v>261</v>
      </c>
      <c r="C804">
        <v>261</v>
      </c>
      <c r="D804" s="2">
        <v>0.94</v>
      </c>
      <c r="E804" s="3">
        <v>1E-78</v>
      </c>
      <c r="F804">
        <v>37.53</v>
      </c>
      <c r="G804" t="str">
        <f>HYPERLINK("https://www.ncbi.nlm.nih.gov/nucleotide/XM_016743102.1?report=genbank&amp;log$=nucltop&amp;blast_rank=69&amp;RID=0RSVG5C1013","XM_016743102.1")</f>
        <v>XM_016743102.1</v>
      </c>
    </row>
    <row r="805" spans="1:7" x14ac:dyDescent="0.35">
      <c r="A805" t="s">
        <v>1040</v>
      </c>
      <c r="B805">
        <v>265</v>
      </c>
      <c r="C805">
        <v>265</v>
      </c>
      <c r="D805" s="2">
        <v>0.94</v>
      </c>
      <c r="E805" s="3">
        <v>3.9999999999999998E-80</v>
      </c>
      <c r="F805">
        <v>37.29</v>
      </c>
      <c r="G805" t="str">
        <f>HYPERLINK("https://www.ncbi.nlm.nih.gov/nucleotide/XM_016783342.1?report=genbank&amp;log$=nucltop&amp;blast_rank=70&amp;RID=0RSVG5C1013","XM_016783342.1")</f>
        <v>XM_016783342.1</v>
      </c>
    </row>
    <row r="806" spans="1:7" x14ac:dyDescent="0.35">
      <c r="A806" s="4" t="s">
        <v>1041</v>
      </c>
      <c r="B806" s="4">
        <v>264</v>
      </c>
      <c r="C806" s="4">
        <v>264</v>
      </c>
      <c r="D806" s="5">
        <v>0.9</v>
      </c>
      <c r="E806" s="6">
        <v>7.0000000000000006E-79</v>
      </c>
      <c r="F806" s="4">
        <v>37.229999999999997</v>
      </c>
      <c r="G806" s="4" t="str">
        <f>HYPERLINK("https://www.ncbi.nlm.nih.gov/nucleotide/XM_001829757.2?report=genbank&amp;log$=nucltop&amp;blast_rank=71&amp;RID=0RSVG5C1013","XM_001829757.2")</f>
        <v>XM_001829757.2</v>
      </c>
    </row>
    <row r="807" spans="1:7" x14ac:dyDescent="0.35">
      <c r="A807" t="s">
        <v>1042</v>
      </c>
      <c r="B807">
        <v>256</v>
      </c>
      <c r="C807">
        <v>256</v>
      </c>
      <c r="D807" s="2">
        <v>0.87</v>
      </c>
      <c r="E807" s="3">
        <v>3.0000000000000002E-76</v>
      </c>
      <c r="F807">
        <v>37.15</v>
      </c>
      <c r="G807" t="str">
        <f>HYPERLINK("https://www.ncbi.nlm.nih.gov/nucleotide/XM_033825526.1?report=genbank&amp;log$=nucltop&amp;blast_rank=72&amp;RID=0RSVG5C1013","XM_033825526.1")</f>
        <v>XM_033825526.1</v>
      </c>
    </row>
    <row r="808" spans="1:7" x14ac:dyDescent="0.35">
      <c r="A808" t="s">
        <v>146</v>
      </c>
      <c r="B808">
        <v>258</v>
      </c>
      <c r="C808">
        <v>258</v>
      </c>
      <c r="D808" s="2">
        <v>0.96</v>
      </c>
      <c r="E808" s="3">
        <v>1.9999999999999999E-77</v>
      </c>
      <c r="F808">
        <v>37.07</v>
      </c>
      <c r="G808" t="str">
        <f>HYPERLINK("https://www.ncbi.nlm.nih.gov/nucleotide/XM_016396445.1?report=genbank&amp;log$=nucltop&amp;blast_rank=73&amp;RID=0RSVG5C1013","XM_016396445.1")</f>
        <v>XM_016396445.1</v>
      </c>
    </row>
    <row r="809" spans="1:7" x14ac:dyDescent="0.35">
      <c r="A809" t="s">
        <v>1043</v>
      </c>
      <c r="B809">
        <v>259</v>
      </c>
      <c r="C809">
        <v>259</v>
      </c>
      <c r="D809" s="2">
        <v>0.88</v>
      </c>
      <c r="E809" s="3">
        <v>9.0000000000000001E-78</v>
      </c>
      <c r="F809">
        <v>37.06</v>
      </c>
      <c r="G809" t="str">
        <f>HYPERLINK("https://www.ncbi.nlm.nih.gov/nucleotide/XM_013485142.1?report=genbank&amp;log$=nucltop&amp;blast_rank=74&amp;RID=0RSVG5C1013","XM_013485142.1")</f>
        <v>XM_013485142.1</v>
      </c>
    </row>
    <row r="810" spans="1:7" x14ac:dyDescent="0.35">
      <c r="A810" t="s">
        <v>156</v>
      </c>
      <c r="B810">
        <v>256</v>
      </c>
      <c r="C810">
        <v>256</v>
      </c>
      <c r="D810" s="2">
        <v>0.96</v>
      </c>
      <c r="E810" s="3">
        <v>1.9999999999999999E-76</v>
      </c>
      <c r="F810">
        <v>37.01</v>
      </c>
      <c r="G810" t="str">
        <f>HYPERLINK("https://www.ncbi.nlm.nih.gov/nucleotide/XM_013431521.1?report=genbank&amp;log$=nucltop&amp;blast_rank=75&amp;RID=0RSVG5C1013","XM_013431521.1")</f>
        <v>XM_013431521.1</v>
      </c>
    </row>
    <row r="811" spans="1:7" x14ac:dyDescent="0.35">
      <c r="A811" t="s">
        <v>1044</v>
      </c>
      <c r="B811">
        <v>266</v>
      </c>
      <c r="C811">
        <v>266</v>
      </c>
      <c r="D811" s="2">
        <v>0.93</v>
      </c>
      <c r="E811" s="3">
        <v>3.9999999999999998E-80</v>
      </c>
      <c r="F811">
        <v>36.880000000000003</v>
      </c>
      <c r="G811" t="str">
        <f>HYPERLINK("https://www.ncbi.nlm.nih.gov/nucleotide/XM_037329150.1?report=genbank&amp;log$=nucltop&amp;blast_rank=76&amp;RID=0RSVG5C1013","XM_037329150.1")</f>
        <v>XM_037329150.1</v>
      </c>
    </row>
    <row r="812" spans="1:7" x14ac:dyDescent="0.35">
      <c r="A812" t="s">
        <v>1045</v>
      </c>
      <c r="B812">
        <v>257</v>
      </c>
      <c r="C812">
        <v>257</v>
      </c>
      <c r="D812" s="2">
        <v>0.92</v>
      </c>
      <c r="E812" s="3">
        <v>4.9999999999999996E-77</v>
      </c>
      <c r="F812">
        <v>36.700000000000003</v>
      </c>
      <c r="G812" t="str">
        <f>HYPERLINK("https://www.ncbi.nlm.nih.gov/nucleotide/XM_028623177.1?report=genbank&amp;log$=nucltop&amp;blast_rank=77&amp;RID=0RSVG5C1013","XM_028623177.1")</f>
        <v>XM_028623177.1</v>
      </c>
    </row>
    <row r="813" spans="1:7" x14ac:dyDescent="0.35">
      <c r="A813" t="s">
        <v>1046</v>
      </c>
      <c r="B813">
        <v>268</v>
      </c>
      <c r="C813">
        <v>268</v>
      </c>
      <c r="D813" s="2">
        <v>0.94</v>
      </c>
      <c r="E813" s="3">
        <v>2.9999999999999999E-81</v>
      </c>
      <c r="F813">
        <v>36.659999999999997</v>
      </c>
      <c r="G813" t="str">
        <f>HYPERLINK("https://www.ncbi.nlm.nih.gov/nucleotide/XM_014097055.1?report=genbank&amp;log$=nucltop&amp;blast_rank=78&amp;RID=0RSVG5C1013","XM_014097055.1")</f>
        <v>XM_014097055.1</v>
      </c>
    </row>
    <row r="814" spans="1:7" x14ac:dyDescent="0.35">
      <c r="A814" t="s">
        <v>1047</v>
      </c>
      <c r="B814">
        <v>264</v>
      </c>
      <c r="C814">
        <v>264</v>
      </c>
      <c r="D814" s="2">
        <v>0.93</v>
      </c>
      <c r="E814" s="3">
        <v>3E-79</v>
      </c>
      <c r="F814">
        <v>36.64</v>
      </c>
      <c r="G814" t="str">
        <f>HYPERLINK("https://www.ncbi.nlm.nih.gov/nucleotide/XM_036646809.1?report=genbank&amp;log$=nucltop&amp;blast_rank=79&amp;RID=0RSVG5C1013","XM_036646809.1")</f>
        <v>XM_036646809.1</v>
      </c>
    </row>
    <row r="815" spans="1:7" x14ac:dyDescent="0.35">
      <c r="A815" t="s">
        <v>1048</v>
      </c>
      <c r="B815">
        <v>264</v>
      </c>
      <c r="C815">
        <v>264</v>
      </c>
      <c r="D815" s="2">
        <v>0.93</v>
      </c>
      <c r="E815" s="3">
        <v>3E-79</v>
      </c>
      <c r="F815">
        <v>36.64</v>
      </c>
      <c r="G815" t="str">
        <f>HYPERLINK("https://www.ncbi.nlm.nih.gov/nucleotide/XM_032024107.1?report=genbank&amp;log$=nucltop&amp;blast_rank=80&amp;RID=0RSVG5C1013","XM_032024107.1")</f>
        <v>XM_032024107.1</v>
      </c>
    </row>
    <row r="816" spans="1:7" x14ac:dyDescent="0.35">
      <c r="A816" t="s">
        <v>1049</v>
      </c>
      <c r="B816">
        <v>271</v>
      </c>
      <c r="C816">
        <v>271</v>
      </c>
      <c r="D816" s="2">
        <v>0.96</v>
      </c>
      <c r="E816" s="3">
        <v>4.9999999999999998E-82</v>
      </c>
      <c r="F816">
        <v>36.51</v>
      </c>
      <c r="G816" t="str">
        <f>HYPERLINK("https://www.ncbi.nlm.nih.gov/nucleotide/XM_024921438.1?report=genbank&amp;log$=nucltop&amp;blast_rank=81&amp;RID=0RSVG5C1013","XM_024921438.1")</f>
        <v>XM_024921438.1</v>
      </c>
    </row>
    <row r="817" spans="1:7" x14ac:dyDescent="0.35">
      <c r="A817" t="s">
        <v>254</v>
      </c>
      <c r="B817">
        <v>276</v>
      </c>
      <c r="C817">
        <v>276</v>
      </c>
      <c r="D817" s="2">
        <v>0.95</v>
      </c>
      <c r="E817" s="3">
        <v>4.0000000000000001E-84</v>
      </c>
      <c r="F817">
        <v>36.299999999999997</v>
      </c>
      <c r="G817" t="str">
        <f>HYPERLINK("https://www.ncbi.nlm.nih.gov/nucleotide/XM_018272177.1?report=genbank&amp;log$=nucltop&amp;blast_rank=82&amp;RID=0RSVG5C1013","XM_018272177.1")</f>
        <v>XM_018272177.1</v>
      </c>
    </row>
    <row r="818" spans="1:7" x14ac:dyDescent="0.35">
      <c r="A818" t="s">
        <v>1050</v>
      </c>
      <c r="B818">
        <v>279</v>
      </c>
      <c r="C818">
        <v>279</v>
      </c>
      <c r="D818" s="2">
        <v>0.96</v>
      </c>
      <c r="E818" s="3">
        <v>3.0000000000000001E-84</v>
      </c>
      <c r="F818">
        <v>36.18</v>
      </c>
      <c r="G818" t="str">
        <f>HYPERLINK("https://www.ncbi.nlm.nih.gov/nucleotide/XM_007269369.1?report=genbank&amp;log$=nucltop&amp;blast_rank=83&amp;RID=0RSVG5C1013","XM_007269369.1")</f>
        <v>XM_007269369.1</v>
      </c>
    </row>
    <row r="819" spans="1:7" x14ac:dyDescent="0.35">
      <c r="A819" t="s">
        <v>628</v>
      </c>
      <c r="B819">
        <v>267</v>
      </c>
      <c r="C819">
        <v>267</v>
      </c>
      <c r="D819" s="2">
        <v>0.95</v>
      </c>
      <c r="E819" s="3">
        <v>9.0000000000000006E-81</v>
      </c>
      <c r="F819">
        <v>36.11</v>
      </c>
      <c r="G819" t="str">
        <f>HYPERLINK("https://www.ncbi.nlm.nih.gov/nucleotide/XM_013473365.1?report=genbank&amp;log$=nucltop&amp;blast_rank=84&amp;RID=0RSVG5C1013","XM_013473365.1")</f>
        <v>XM_013473365.1</v>
      </c>
    </row>
    <row r="820" spans="1:7" x14ac:dyDescent="0.35">
      <c r="A820" t="s">
        <v>1051</v>
      </c>
      <c r="B820">
        <v>270</v>
      </c>
      <c r="C820">
        <v>270</v>
      </c>
      <c r="D820" s="2">
        <v>0.96</v>
      </c>
      <c r="E820" s="3">
        <v>9.9999999999999996E-81</v>
      </c>
      <c r="F820">
        <v>35.97</v>
      </c>
      <c r="G820" t="str">
        <f>HYPERLINK("https://www.ncbi.nlm.nih.gov/nucleotide/XM_018213751.1?report=genbank&amp;log$=nucltop&amp;blast_rank=85&amp;RID=0RSVG5C1013","XM_018213751.1")</f>
        <v>XM_018213751.1</v>
      </c>
    </row>
    <row r="821" spans="1:7" x14ac:dyDescent="0.35">
      <c r="A821" t="s">
        <v>1052</v>
      </c>
      <c r="B821">
        <v>261</v>
      </c>
      <c r="C821">
        <v>261</v>
      </c>
      <c r="D821" s="2">
        <v>0.93</v>
      </c>
      <c r="E821" s="3">
        <v>5.9999999999999998E-78</v>
      </c>
      <c r="F821">
        <v>35.869999999999997</v>
      </c>
      <c r="G821" t="str">
        <f>HYPERLINK("https://www.ncbi.nlm.nih.gov/nucleotide/XM_035473218.1?report=genbank&amp;log$=nucltop&amp;blast_rank=86&amp;RID=0RSVG5C1013","XM_035473218.1")</f>
        <v>XM_035473218.1</v>
      </c>
    </row>
    <row r="822" spans="1:7" x14ac:dyDescent="0.35">
      <c r="A822" t="s">
        <v>1053</v>
      </c>
      <c r="B822">
        <v>255</v>
      </c>
      <c r="C822">
        <v>255</v>
      </c>
      <c r="D822" s="2">
        <v>0.93</v>
      </c>
      <c r="E822" s="3">
        <v>3.0000000000000002E-76</v>
      </c>
      <c r="F822">
        <v>35.799999999999997</v>
      </c>
      <c r="G822" t="str">
        <f>HYPERLINK("https://www.ncbi.nlm.nih.gov/nucleotide/XM_002565631.1?report=genbank&amp;log$=nucltop&amp;blast_rank=87&amp;RID=0RSVG5C1013","XM_002565631.1")</f>
        <v>XM_002565631.1</v>
      </c>
    </row>
    <row r="823" spans="1:7" x14ac:dyDescent="0.35">
      <c r="A823" t="s">
        <v>1054</v>
      </c>
      <c r="B823">
        <v>268</v>
      </c>
      <c r="C823">
        <v>268</v>
      </c>
      <c r="D823" s="2">
        <v>0.93</v>
      </c>
      <c r="E823" s="3">
        <v>1.9999999999999999E-81</v>
      </c>
      <c r="F823">
        <v>35.68</v>
      </c>
      <c r="G823" t="str">
        <f>HYPERLINK("https://www.ncbi.nlm.nih.gov/nucleotide/XM_003040432.1?report=genbank&amp;log$=nucltop&amp;blast_rank=88&amp;RID=0RSVG5C1013","XM_003040432.1")</f>
        <v>XM_003040432.1</v>
      </c>
    </row>
    <row r="824" spans="1:7" x14ac:dyDescent="0.35">
      <c r="A824" t="s">
        <v>1055</v>
      </c>
      <c r="B824">
        <v>256</v>
      </c>
      <c r="C824">
        <v>256</v>
      </c>
      <c r="D824" s="2">
        <v>0.94</v>
      </c>
      <c r="E824" s="3">
        <v>1.9999999999999999E-76</v>
      </c>
      <c r="F824">
        <v>35.549999999999997</v>
      </c>
      <c r="G824" t="str">
        <f>HYPERLINK("https://www.ncbi.nlm.nih.gov/nucleotide/XM_026755690.1?report=genbank&amp;log$=nucltop&amp;blast_rank=89&amp;RID=0RSVG5C1013","XM_026755690.1")</f>
        <v>XM_026755690.1</v>
      </c>
    </row>
    <row r="825" spans="1:7" x14ac:dyDescent="0.35">
      <c r="A825" t="s">
        <v>1056</v>
      </c>
      <c r="B825">
        <v>257</v>
      </c>
      <c r="C825">
        <v>257</v>
      </c>
      <c r="D825" s="2">
        <v>0.96</v>
      </c>
      <c r="E825" s="3">
        <v>4.9999999999999996E-77</v>
      </c>
      <c r="F825">
        <v>35.17</v>
      </c>
      <c r="G825" t="str">
        <f>HYPERLINK("https://www.ncbi.nlm.nih.gov/nucleotide/XM_001215889.1?report=genbank&amp;log$=nucltop&amp;blast_rank=90&amp;RID=0RSVG5C1013","XM_001215889.1")</f>
        <v>XM_001215889.1</v>
      </c>
    </row>
    <row r="826" spans="1:7" x14ac:dyDescent="0.35">
      <c r="A826" t="s">
        <v>1057</v>
      </c>
      <c r="B826">
        <v>258</v>
      </c>
      <c r="C826">
        <v>258</v>
      </c>
      <c r="D826" s="2">
        <v>0.97</v>
      </c>
      <c r="E826" s="3">
        <v>1.9999999999999999E-77</v>
      </c>
      <c r="F826">
        <v>35.01</v>
      </c>
      <c r="G826" t="str">
        <f>HYPERLINK("https://www.ncbi.nlm.nih.gov/nucleotide/XM_014316328.1?report=genbank&amp;log$=nucltop&amp;blast_rank=91&amp;RID=0RSVG5C1013","XM_014316328.1")</f>
        <v>XM_014316328.1</v>
      </c>
    </row>
    <row r="827" spans="1:7" x14ac:dyDescent="0.35">
      <c r="A827" t="s">
        <v>1058</v>
      </c>
      <c r="B827">
        <v>255</v>
      </c>
      <c r="C827">
        <v>255</v>
      </c>
      <c r="D827" s="2">
        <v>0.93</v>
      </c>
      <c r="E827" s="3">
        <v>3.0000000000000002E-76</v>
      </c>
      <c r="F827">
        <v>35</v>
      </c>
      <c r="G827" t="str">
        <f>HYPERLINK("https://www.ncbi.nlm.nih.gov/nucleotide/XM_023576878.1?report=genbank&amp;log$=nucltop&amp;blast_rank=92&amp;RID=0RSVG5C1013","XM_023576878.1")</f>
        <v>XM_023576878.1</v>
      </c>
    </row>
    <row r="828" spans="1:7" x14ac:dyDescent="0.35">
      <c r="A828" t="s">
        <v>1059</v>
      </c>
      <c r="B828">
        <v>260</v>
      </c>
      <c r="C828">
        <v>260</v>
      </c>
      <c r="D828" s="2">
        <v>0.96</v>
      </c>
      <c r="E828" s="3">
        <v>1.9999999999999999E-77</v>
      </c>
      <c r="F828">
        <v>34.950000000000003</v>
      </c>
      <c r="G828" t="str">
        <f>HYPERLINK("https://www.ncbi.nlm.nih.gov/nucleotide/XM_032015687.1?report=genbank&amp;log$=nucltop&amp;blast_rank=93&amp;RID=0RSVG5C1013","XM_032015687.1")</f>
        <v>XM_032015687.1</v>
      </c>
    </row>
    <row r="829" spans="1:7" x14ac:dyDescent="0.35">
      <c r="A829" t="s">
        <v>1060</v>
      </c>
      <c r="B829">
        <v>258</v>
      </c>
      <c r="C829">
        <v>258</v>
      </c>
      <c r="D829" s="2">
        <v>0.96</v>
      </c>
      <c r="E829" s="3">
        <v>7.0000000000000003E-77</v>
      </c>
      <c r="F829">
        <v>34.79</v>
      </c>
      <c r="G829" t="str">
        <f>HYPERLINK("https://www.ncbi.nlm.nih.gov/nucleotide/XM_022616666.1?report=genbank&amp;log$=nucltop&amp;blast_rank=94&amp;RID=0RSVG5C1013","XM_022616666.1")</f>
        <v>XM_022616666.1</v>
      </c>
    </row>
    <row r="830" spans="1:7" x14ac:dyDescent="0.35">
      <c r="A830" t="s">
        <v>1061</v>
      </c>
      <c r="B830">
        <v>256</v>
      </c>
      <c r="C830">
        <v>256</v>
      </c>
      <c r="D830" s="2">
        <v>0.93</v>
      </c>
      <c r="E830" s="3">
        <v>9.0000000000000001E-77</v>
      </c>
      <c r="F830">
        <v>34.76</v>
      </c>
      <c r="G830" t="str">
        <f>HYPERLINK("https://www.ncbi.nlm.nih.gov/nucleotide/XM_031218592.1?report=genbank&amp;log$=nucltop&amp;blast_rank=95&amp;RID=0RSVG5C1013","XM_031218592.1")</f>
        <v>XM_031218592.1</v>
      </c>
    </row>
    <row r="831" spans="1:7" x14ac:dyDescent="0.35">
      <c r="A831" t="s">
        <v>1062</v>
      </c>
      <c r="B831">
        <v>259</v>
      </c>
      <c r="C831">
        <v>259</v>
      </c>
      <c r="D831" s="2">
        <v>0.98</v>
      </c>
      <c r="E831" s="3">
        <v>9.9999999999999993E-78</v>
      </c>
      <c r="F831">
        <v>34.090000000000003</v>
      </c>
      <c r="G831" t="str">
        <f>HYPERLINK("https://www.ncbi.nlm.nih.gov/nucleotide/XM_031183081.1?report=genbank&amp;log$=nucltop&amp;blast_rank=96&amp;RID=0RSVG5C1013","XM_031183081.1")</f>
        <v>XM_031183081.1</v>
      </c>
    </row>
    <row r="832" spans="1:7" x14ac:dyDescent="0.35">
      <c r="A832" t="s">
        <v>1063</v>
      </c>
      <c r="B832">
        <v>257</v>
      </c>
      <c r="C832">
        <v>257</v>
      </c>
      <c r="D832" s="2">
        <v>0.98</v>
      </c>
      <c r="E832" s="3">
        <v>4.9999999999999996E-77</v>
      </c>
      <c r="F832">
        <v>34.090000000000003</v>
      </c>
      <c r="G832" t="str">
        <f>HYPERLINK("https://www.ncbi.nlm.nih.gov/nucleotide/XM_031216168.1?report=genbank&amp;log$=nucltop&amp;blast_rank=97&amp;RID=0RSVG5C1013","XM_031216168.1")</f>
        <v>XM_031216168.1</v>
      </c>
    </row>
    <row r="833" spans="1:7" x14ac:dyDescent="0.35">
      <c r="A833" t="s">
        <v>1064</v>
      </c>
      <c r="B833">
        <v>255</v>
      </c>
      <c r="C833">
        <v>255</v>
      </c>
      <c r="D833" s="2">
        <v>0.94</v>
      </c>
      <c r="E833" s="3">
        <v>1.9999999999999999E-76</v>
      </c>
      <c r="F833">
        <v>33.96</v>
      </c>
      <c r="G833" t="str">
        <f>HYPERLINK("https://www.ncbi.nlm.nih.gov/nucleotide/XM_037351990.1?report=genbank&amp;log$=nucltop&amp;blast_rank=98&amp;RID=0RSVG5C1013","XM_037351990.1")</f>
        <v>XM_037351990.1</v>
      </c>
    </row>
    <row r="834" spans="1:7" x14ac:dyDescent="0.35">
      <c r="A834" t="s">
        <v>1065</v>
      </c>
      <c r="B834">
        <v>259</v>
      </c>
      <c r="C834">
        <v>259</v>
      </c>
      <c r="D834" s="2">
        <v>0.98</v>
      </c>
      <c r="E834" s="3">
        <v>9.9999999999999993E-78</v>
      </c>
      <c r="F834">
        <v>33.86</v>
      </c>
      <c r="G834" t="str">
        <f>HYPERLINK("https://www.ncbi.nlm.nih.gov/nucleotide/XM_018382763.1?report=genbank&amp;log$=nucltop&amp;blast_rank=99&amp;RID=0RSVG5C1013","XM_018382763.1")</f>
        <v>XM_018382763.1</v>
      </c>
    </row>
    <row r="835" spans="1:7" x14ac:dyDescent="0.35">
      <c r="A835" t="s">
        <v>81</v>
      </c>
      <c r="B835">
        <v>258</v>
      </c>
      <c r="C835">
        <v>258</v>
      </c>
      <c r="D835" s="2">
        <v>0.95</v>
      </c>
      <c r="E835" s="3">
        <v>9.9999999999999993E-78</v>
      </c>
      <c r="F835">
        <v>33.33</v>
      </c>
      <c r="G835" t="str">
        <f>HYPERLINK("https://www.ncbi.nlm.nih.gov/nucleotide/XM_011324919.1?report=genbank&amp;log$=nucltop&amp;blast_rank=100&amp;RID=0RSVG5C1013","XM_011324919.1")</f>
        <v>XM_011324919.1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5D111-0868-454D-927C-0D6E8F643C07}">
  <dimension ref="A1:G880"/>
  <sheetViews>
    <sheetView workbookViewId="0">
      <selection activeCell="H35" sqref="H35"/>
    </sheetView>
  </sheetViews>
  <sheetFormatPr defaultRowHeight="14.5" x14ac:dyDescent="0.35"/>
  <cols>
    <col min="1" max="1" width="88.26953125" bestFit="1" customWidth="1"/>
    <col min="2" max="2" width="9.54296875" bestFit="1" customWidth="1"/>
    <col min="3" max="3" width="10.08984375" bestFit="1" customWidth="1"/>
    <col min="4" max="4" width="11.1796875" bestFit="1" customWidth="1"/>
    <col min="5" max="6" width="9" bestFit="1" customWidth="1"/>
    <col min="7" max="7" width="15.1796875" bestFit="1" customWidth="1"/>
  </cols>
  <sheetData>
    <row r="1" spans="1:7" x14ac:dyDescent="0.35">
      <c r="A1" s="1" t="s">
        <v>1066</v>
      </c>
    </row>
    <row r="2" spans="1:7" x14ac:dyDescent="0.35">
      <c r="A2" s="1" t="s">
        <v>1067</v>
      </c>
    </row>
    <row r="3" spans="1:7" x14ac:dyDescent="0.3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 x14ac:dyDescent="0.35">
      <c r="A4" t="s">
        <v>9</v>
      </c>
      <c r="B4">
        <v>329</v>
      </c>
      <c r="C4">
        <v>1232</v>
      </c>
      <c r="D4" s="2">
        <v>1</v>
      </c>
      <c r="E4">
        <v>0</v>
      </c>
      <c r="F4">
        <v>96.32</v>
      </c>
      <c r="G4" t="str">
        <f>HYPERLINK("https://www.ncbi.nlm.nih.gov/nucleotide/LR732079.1?report=genbank&amp;log$=nucltop&amp;blast_rank=1&amp;RID=1ZZW193R013","LR732079.1")</f>
        <v>LR732079.1</v>
      </c>
    </row>
    <row r="5" spans="1:7" x14ac:dyDescent="0.35">
      <c r="A5" s="4" t="s">
        <v>10</v>
      </c>
      <c r="B5" s="4">
        <v>187</v>
      </c>
      <c r="C5" s="4">
        <v>187</v>
      </c>
      <c r="D5" s="5">
        <v>0.18</v>
      </c>
      <c r="E5" s="6">
        <v>1E-52</v>
      </c>
      <c r="F5" s="4">
        <v>72.569999999999993</v>
      </c>
      <c r="G5" s="4" t="str">
        <f>HYPERLINK("https://www.ncbi.nlm.nih.gov/nucleotide/AB551954.1?report=genbank&amp;log$=nucltop&amp;blast_rank=2&amp;RID=1ZZW193R013","AB551954.1")</f>
        <v>AB551954.1</v>
      </c>
    </row>
    <row r="6" spans="1:7" x14ac:dyDescent="0.35">
      <c r="A6" t="s">
        <v>473</v>
      </c>
      <c r="B6">
        <v>400</v>
      </c>
      <c r="C6">
        <v>1096</v>
      </c>
      <c r="D6" s="2">
        <v>0.94</v>
      </c>
      <c r="E6" s="3">
        <v>2E-118</v>
      </c>
      <c r="F6">
        <v>62.01</v>
      </c>
      <c r="G6" t="str">
        <f>HYPERLINK("https://www.ncbi.nlm.nih.gov/nucleotide/CP068007.1?report=genbank&amp;log$=nucltop&amp;blast_rank=3&amp;RID=1ZZW193R013","CP068007.1")</f>
        <v>CP068007.1</v>
      </c>
    </row>
    <row r="7" spans="1:7" x14ac:dyDescent="0.35">
      <c r="A7" s="4" t="s">
        <v>11</v>
      </c>
      <c r="B7" s="4">
        <v>730</v>
      </c>
      <c r="C7" s="4">
        <v>730</v>
      </c>
      <c r="D7" s="5">
        <v>0.96</v>
      </c>
      <c r="E7" s="4">
        <v>0</v>
      </c>
      <c r="F7" s="4">
        <v>59.37</v>
      </c>
      <c r="G7" s="4" t="str">
        <f>HYPERLINK("https://www.ncbi.nlm.nih.gov/nucleotide/AB551982.1?report=genbank&amp;log$=nucltop&amp;blast_rank=4&amp;RID=1ZZW193R013","AB551982.1")</f>
        <v>AB551982.1</v>
      </c>
    </row>
    <row r="8" spans="1:7" x14ac:dyDescent="0.35">
      <c r="A8" t="s">
        <v>12</v>
      </c>
      <c r="B8">
        <v>676</v>
      </c>
      <c r="C8">
        <v>676</v>
      </c>
      <c r="D8" s="2">
        <v>0.9</v>
      </c>
      <c r="E8">
        <v>0</v>
      </c>
      <c r="F8">
        <v>58.45</v>
      </c>
      <c r="G8" t="str">
        <f>HYPERLINK("https://www.ncbi.nlm.nih.gov/nucleotide/XM_036779060.1?report=genbank&amp;log$=nucltop&amp;blast_rank=5&amp;RID=1ZZW193R013","XM_036779060.1")</f>
        <v>XM_036779060.1</v>
      </c>
    </row>
    <row r="9" spans="1:7" x14ac:dyDescent="0.35">
      <c r="A9" t="s">
        <v>16</v>
      </c>
      <c r="B9">
        <v>394</v>
      </c>
      <c r="C9">
        <v>1025</v>
      </c>
      <c r="D9" s="2">
        <v>0.96</v>
      </c>
      <c r="E9" s="3">
        <v>4E-175</v>
      </c>
      <c r="F9">
        <v>57.44</v>
      </c>
      <c r="G9" t="str">
        <f>HYPERLINK("https://www.ncbi.nlm.nih.gov/nucleotide/CP039877.1?report=genbank&amp;log$=nucltop&amp;blast_rank=6&amp;RID=1ZZW193R013","CP039877.1")</f>
        <v>CP039877.1</v>
      </c>
    </row>
    <row r="10" spans="1:7" x14ac:dyDescent="0.35">
      <c r="A10" t="s">
        <v>17</v>
      </c>
      <c r="B10">
        <v>394</v>
      </c>
      <c r="C10">
        <v>1025</v>
      </c>
      <c r="D10" s="2">
        <v>0.96</v>
      </c>
      <c r="E10" s="3">
        <v>4E-175</v>
      </c>
      <c r="F10">
        <v>57.44</v>
      </c>
      <c r="G10" t="str">
        <f>HYPERLINK("https://www.ncbi.nlm.nih.gov/nucleotide/CP015461.1?report=genbank&amp;log$=nucltop&amp;blast_rank=7&amp;RID=1ZZW193R013","CP015461.1")</f>
        <v>CP015461.1</v>
      </c>
    </row>
    <row r="11" spans="1:7" x14ac:dyDescent="0.35">
      <c r="A11" t="s">
        <v>18</v>
      </c>
      <c r="B11">
        <v>394</v>
      </c>
      <c r="C11">
        <v>1025</v>
      </c>
      <c r="D11" s="2">
        <v>0.96</v>
      </c>
      <c r="E11" s="3">
        <v>4E-175</v>
      </c>
      <c r="F11">
        <v>57.44</v>
      </c>
      <c r="G11" t="str">
        <f>HYPERLINK("https://www.ncbi.nlm.nih.gov/nucleotide/CP015474.1?report=genbank&amp;log$=nucltop&amp;blast_rank=8&amp;RID=1ZZW193R013","CP015474.1")</f>
        <v>CP015474.1</v>
      </c>
    </row>
    <row r="12" spans="1:7" x14ac:dyDescent="0.35">
      <c r="A12" t="s">
        <v>13</v>
      </c>
      <c r="B12">
        <v>676</v>
      </c>
      <c r="C12">
        <v>676</v>
      </c>
      <c r="D12" s="2">
        <v>0.95</v>
      </c>
      <c r="E12">
        <v>0</v>
      </c>
      <c r="F12">
        <v>57.1</v>
      </c>
      <c r="G12" t="str">
        <f>HYPERLINK("https://www.ncbi.nlm.nih.gov/nucleotide/XM_037359092.1?report=genbank&amp;log$=nucltop&amp;blast_rank=9&amp;RID=1ZZW193R013","XM_037359092.1")</f>
        <v>XM_037359092.1</v>
      </c>
    </row>
    <row r="13" spans="1:7" x14ac:dyDescent="0.35">
      <c r="A13" t="s">
        <v>14</v>
      </c>
      <c r="B13">
        <v>692</v>
      </c>
      <c r="C13">
        <v>692</v>
      </c>
      <c r="D13" s="2">
        <v>0.96</v>
      </c>
      <c r="E13">
        <v>0</v>
      </c>
      <c r="F13">
        <v>56.95</v>
      </c>
      <c r="G13" t="str">
        <f>HYPERLINK("https://www.ncbi.nlm.nih.gov/nucleotide/XM_007330301.1?report=genbank&amp;log$=nucltop&amp;blast_rank=10&amp;RID=1ZZW193R013","XM_007330301.1")</f>
        <v>XM_007330301.1</v>
      </c>
    </row>
    <row r="14" spans="1:7" x14ac:dyDescent="0.35">
      <c r="A14" t="s">
        <v>15</v>
      </c>
      <c r="B14">
        <v>689</v>
      </c>
      <c r="C14">
        <v>689</v>
      </c>
      <c r="D14" s="2">
        <v>0.96</v>
      </c>
      <c r="E14">
        <v>0</v>
      </c>
      <c r="F14">
        <v>56.95</v>
      </c>
      <c r="G14" t="str">
        <f>HYPERLINK("https://www.ncbi.nlm.nih.gov/nucleotide/XM_006459161.1?report=genbank&amp;log$=nucltop&amp;blast_rank=11&amp;RID=1ZZW193R013","XM_006459161.1")</f>
        <v>XM_006459161.1</v>
      </c>
    </row>
    <row r="15" spans="1:7" x14ac:dyDescent="0.35">
      <c r="A15" s="4" t="s">
        <v>20</v>
      </c>
      <c r="B15" s="4">
        <v>177</v>
      </c>
      <c r="C15" s="4">
        <v>425</v>
      </c>
      <c r="D15" s="5">
        <v>0.96</v>
      </c>
      <c r="E15" s="6">
        <v>2E-95</v>
      </c>
      <c r="F15" s="4">
        <v>52.56</v>
      </c>
      <c r="G15" s="4" t="str">
        <f>HYPERLINK("https://www.ncbi.nlm.nih.gov/nucleotide/KJ999702.1?report=genbank&amp;log$=nucltop&amp;blast_rank=12&amp;RID=1ZZW193R013","KJ999702.1")</f>
        <v>KJ999702.1</v>
      </c>
    </row>
    <row r="16" spans="1:7" x14ac:dyDescent="0.35">
      <c r="A16" t="s">
        <v>19</v>
      </c>
      <c r="B16">
        <v>640</v>
      </c>
      <c r="C16">
        <v>640</v>
      </c>
      <c r="D16" s="2">
        <v>0.95</v>
      </c>
      <c r="E16">
        <v>0</v>
      </c>
      <c r="F16">
        <v>52.43</v>
      </c>
      <c r="G16" t="str">
        <f>HYPERLINK("https://www.ncbi.nlm.nih.gov/nucleotide/XM_001880889.1?report=genbank&amp;log$=nucltop&amp;blast_rank=13&amp;RID=1ZZW193R013","XM_001880889.1")</f>
        <v>XM_001880889.1</v>
      </c>
    </row>
    <row r="17" spans="1:7" x14ac:dyDescent="0.35">
      <c r="A17" t="s">
        <v>21</v>
      </c>
      <c r="B17">
        <v>618</v>
      </c>
      <c r="C17">
        <v>618</v>
      </c>
      <c r="D17" s="2">
        <v>0.97</v>
      </c>
      <c r="E17">
        <v>0</v>
      </c>
      <c r="F17">
        <v>50.4</v>
      </c>
      <c r="G17" t="str">
        <f>HYPERLINK("https://www.ncbi.nlm.nih.gov/nucleotide/XM_009546986.1?report=genbank&amp;log$=nucltop&amp;blast_rank=14&amp;RID=1ZZW193R013","XM_009546986.1")</f>
        <v>XM_009546986.1</v>
      </c>
    </row>
    <row r="18" spans="1:7" x14ac:dyDescent="0.35">
      <c r="A18" t="s">
        <v>22</v>
      </c>
      <c r="B18">
        <v>487</v>
      </c>
      <c r="C18">
        <v>487</v>
      </c>
      <c r="D18" s="2">
        <v>0.86</v>
      </c>
      <c r="E18" s="3">
        <v>3.9999999999999997E-163</v>
      </c>
      <c r="F18">
        <v>48.46</v>
      </c>
      <c r="G18" t="str">
        <f>HYPERLINK("https://www.ncbi.nlm.nih.gov/nucleotide/XM_001836369.2?report=genbank&amp;log$=nucltop&amp;blast_rank=15&amp;RID=1ZZW193R013","XM_001836369.2")</f>
        <v>XM_001836369.2</v>
      </c>
    </row>
    <row r="19" spans="1:7" x14ac:dyDescent="0.35">
      <c r="A19" t="s">
        <v>24</v>
      </c>
      <c r="B19">
        <v>518</v>
      </c>
      <c r="C19">
        <v>518</v>
      </c>
      <c r="D19" s="2">
        <v>0.95</v>
      </c>
      <c r="E19" s="3">
        <v>1E-173</v>
      </c>
      <c r="F19">
        <v>44.03</v>
      </c>
      <c r="G19" t="str">
        <f>HYPERLINK("https://www.ncbi.nlm.nih.gov/nucleotide/XM_037359093.1?report=genbank&amp;log$=nucltop&amp;blast_rank=16&amp;RID=1ZZW193R013","XM_037359093.1")</f>
        <v>XM_037359093.1</v>
      </c>
    </row>
    <row r="20" spans="1:7" x14ac:dyDescent="0.35">
      <c r="A20" t="s">
        <v>23</v>
      </c>
      <c r="B20">
        <v>496</v>
      </c>
      <c r="C20">
        <v>496</v>
      </c>
      <c r="D20" s="2">
        <v>0.96</v>
      </c>
      <c r="E20" s="3">
        <v>4.9999999999999998E-163</v>
      </c>
      <c r="F20">
        <v>44.02</v>
      </c>
      <c r="G20" t="str">
        <f>HYPERLINK("https://www.ncbi.nlm.nih.gov/nucleotide/XM_007300021.1?report=genbank&amp;log$=nucltop&amp;blast_rank=17&amp;RID=1ZZW193R013","XM_007300021.1")</f>
        <v>XM_007300021.1</v>
      </c>
    </row>
    <row r="21" spans="1:7" x14ac:dyDescent="0.35">
      <c r="A21" t="s">
        <v>27</v>
      </c>
      <c r="B21">
        <v>175</v>
      </c>
      <c r="C21">
        <v>393</v>
      </c>
      <c r="D21" s="2">
        <v>0.96</v>
      </c>
      <c r="E21" s="3">
        <v>5.0000000000000001E-92</v>
      </c>
      <c r="F21">
        <v>43.92</v>
      </c>
      <c r="G21" t="str">
        <f>HYPERLINK("https://www.ncbi.nlm.nih.gov/nucleotide/CP031830.1?report=genbank&amp;log$=nucltop&amp;blast_rank=18&amp;RID=1ZZW193R013","CP031830.1")</f>
        <v>CP031830.1</v>
      </c>
    </row>
    <row r="22" spans="1:7" x14ac:dyDescent="0.35">
      <c r="A22" t="s">
        <v>28</v>
      </c>
      <c r="B22">
        <v>175</v>
      </c>
      <c r="C22">
        <v>393</v>
      </c>
      <c r="D22" s="2">
        <v>0.96</v>
      </c>
      <c r="E22" s="3">
        <v>5.0000000000000001E-92</v>
      </c>
      <c r="F22">
        <v>43.92</v>
      </c>
      <c r="G22" t="str">
        <f>HYPERLINK("https://www.ncbi.nlm.nih.gov/nucleotide/LK023335.1?report=genbank&amp;log$=nucltop&amp;blast_rank=19&amp;RID=1ZZW193R013","LK023335.1")</f>
        <v>LK023335.1</v>
      </c>
    </row>
    <row r="23" spans="1:7" x14ac:dyDescent="0.35">
      <c r="A23" t="s">
        <v>30</v>
      </c>
      <c r="B23">
        <v>186</v>
      </c>
      <c r="C23">
        <v>426</v>
      </c>
      <c r="D23" s="2">
        <v>0.96</v>
      </c>
      <c r="E23" s="3">
        <v>1.9999999999999999E-82</v>
      </c>
      <c r="F23">
        <v>43.65</v>
      </c>
      <c r="G23" t="str">
        <f>HYPERLINK("https://www.ncbi.nlm.nih.gov/nucleotide/CP031825.1?report=genbank&amp;log$=nucltop&amp;blast_rank=20&amp;RID=1ZZW193R013","CP031825.1")</f>
        <v>CP031825.1</v>
      </c>
    </row>
    <row r="24" spans="1:7" x14ac:dyDescent="0.35">
      <c r="A24" t="s">
        <v>31</v>
      </c>
      <c r="B24">
        <v>186</v>
      </c>
      <c r="C24">
        <v>426</v>
      </c>
      <c r="D24" s="2">
        <v>0.96</v>
      </c>
      <c r="E24" s="3">
        <v>1.9999999999999999E-82</v>
      </c>
      <c r="F24">
        <v>43.65</v>
      </c>
      <c r="G24" t="str">
        <f>HYPERLINK("https://www.ncbi.nlm.nih.gov/nucleotide/LK023313.1?report=genbank&amp;log$=nucltop&amp;blast_rank=21&amp;RID=1ZZW193R013","LK023313.1")</f>
        <v>LK023313.1</v>
      </c>
    </row>
    <row r="25" spans="1:7" x14ac:dyDescent="0.35">
      <c r="A25" t="s">
        <v>25</v>
      </c>
      <c r="B25">
        <v>513</v>
      </c>
      <c r="C25">
        <v>513</v>
      </c>
      <c r="D25" s="2">
        <v>0.96</v>
      </c>
      <c r="E25" s="3">
        <v>2E-171</v>
      </c>
      <c r="F25">
        <v>43.09</v>
      </c>
      <c r="G25" t="str">
        <f>HYPERLINK("https://www.ncbi.nlm.nih.gov/nucleotide/XM_007330400.1?report=genbank&amp;log$=nucltop&amp;blast_rank=22&amp;RID=1ZZW193R013","XM_007330400.1")</f>
        <v>XM_007330400.1</v>
      </c>
    </row>
    <row r="26" spans="1:7" x14ac:dyDescent="0.35">
      <c r="A26" t="s">
        <v>29</v>
      </c>
      <c r="B26">
        <v>504</v>
      </c>
      <c r="C26">
        <v>504</v>
      </c>
      <c r="D26" s="2">
        <v>0.96</v>
      </c>
      <c r="E26" s="3">
        <v>2.9999999999999999E-168</v>
      </c>
      <c r="F26">
        <v>43.04</v>
      </c>
      <c r="G26" t="str">
        <f>HYPERLINK("https://www.ncbi.nlm.nih.gov/nucleotide/XM_036779059.1?report=genbank&amp;log$=nucltop&amp;blast_rank=23&amp;RID=1ZZW193R013","XM_036779059.1")</f>
        <v>XM_036779059.1</v>
      </c>
    </row>
    <row r="27" spans="1:7" x14ac:dyDescent="0.35">
      <c r="A27" t="s">
        <v>26</v>
      </c>
      <c r="B27">
        <v>510</v>
      </c>
      <c r="C27">
        <v>510</v>
      </c>
      <c r="D27" s="2">
        <v>0.96</v>
      </c>
      <c r="E27" s="3">
        <v>3.0000000000000001E-170</v>
      </c>
      <c r="F27">
        <v>42.93</v>
      </c>
      <c r="G27" t="str">
        <f>HYPERLINK("https://www.ncbi.nlm.nih.gov/nucleotide/XM_006459162.1?report=genbank&amp;log$=nucltop&amp;blast_rank=24&amp;RID=1ZZW193R013","XM_006459162.1")</f>
        <v>XM_006459162.1</v>
      </c>
    </row>
    <row r="28" spans="1:7" x14ac:dyDescent="0.35">
      <c r="A28" t="s">
        <v>32</v>
      </c>
      <c r="B28">
        <v>462</v>
      </c>
      <c r="C28">
        <v>462</v>
      </c>
      <c r="D28" s="2">
        <v>0.96</v>
      </c>
      <c r="E28" s="3">
        <v>3.0000000000000002E-149</v>
      </c>
      <c r="F28">
        <v>41.2</v>
      </c>
      <c r="G28" t="str">
        <f>HYPERLINK("https://www.ncbi.nlm.nih.gov/nucleotide/XM_018429091.1?report=genbank&amp;log$=nucltop&amp;blast_rank=25&amp;RID=1ZZW193R013","XM_018429091.1")</f>
        <v>XM_018429091.1</v>
      </c>
    </row>
    <row r="29" spans="1:7" x14ac:dyDescent="0.35">
      <c r="A29" t="s">
        <v>21</v>
      </c>
      <c r="B29">
        <v>483</v>
      </c>
      <c r="C29">
        <v>483</v>
      </c>
      <c r="D29" s="2">
        <v>0.98</v>
      </c>
      <c r="E29" s="3">
        <v>6.0000000000000002E-159</v>
      </c>
      <c r="F29">
        <v>41.04</v>
      </c>
      <c r="G29" t="str">
        <f>HYPERLINK("https://www.ncbi.nlm.nih.gov/nucleotide/XM_009546985.1?report=genbank&amp;log$=nucltop&amp;blast_rank=26&amp;RID=1ZZW193R013","XM_009546985.1")</f>
        <v>XM_009546985.1</v>
      </c>
    </row>
    <row r="30" spans="1:7" x14ac:dyDescent="0.35">
      <c r="A30" t="s">
        <v>34</v>
      </c>
      <c r="B30">
        <v>453</v>
      </c>
      <c r="C30">
        <v>453</v>
      </c>
      <c r="D30" s="2">
        <v>0.96</v>
      </c>
      <c r="E30" s="3">
        <v>1.9999999999999999E-148</v>
      </c>
      <c r="F30">
        <v>39.799999999999997</v>
      </c>
      <c r="G30" t="str">
        <f>HYPERLINK("https://www.ncbi.nlm.nih.gov/nucleotide/XM_001836368.2?report=genbank&amp;log$=nucltop&amp;blast_rank=27&amp;RID=1ZZW193R013","XM_001836368.2")</f>
        <v>XM_001836368.2</v>
      </c>
    </row>
    <row r="31" spans="1:7" x14ac:dyDescent="0.35">
      <c r="A31" t="s">
        <v>19</v>
      </c>
      <c r="B31">
        <v>471</v>
      </c>
      <c r="C31">
        <v>471</v>
      </c>
      <c r="D31" s="2">
        <v>0.96</v>
      </c>
      <c r="E31" s="3">
        <v>2E-155</v>
      </c>
      <c r="F31">
        <v>39.479999999999997</v>
      </c>
      <c r="G31" t="str">
        <f>HYPERLINK("https://www.ncbi.nlm.nih.gov/nucleotide/XM_001880890.1?report=genbank&amp;log$=nucltop&amp;blast_rank=28&amp;RID=1ZZW193R013","XM_001880890.1")</f>
        <v>XM_001880890.1</v>
      </c>
    </row>
    <row r="32" spans="1:7" x14ac:dyDescent="0.35">
      <c r="A32" t="s">
        <v>33</v>
      </c>
      <c r="B32">
        <v>460</v>
      </c>
      <c r="C32">
        <v>460</v>
      </c>
      <c r="D32" s="2">
        <v>0.96</v>
      </c>
      <c r="E32" s="3">
        <v>2E-150</v>
      </c>
      <c r="F32">
        <v>39.450000000000003</v>
      </c>
      <c r="G32" t="str">
        <f>HYPERLINK("https://www.ncbi.nlm.nih.gov/nucleotide/XM_007300020.1?report=genbank&amp;log$=nucltop&amp;blast_rank=29&amp;RID=1ZZW193R013","XM_007300020.1")</f>
        <v>XM_007300020.1</v>
      </c>
    </row>
    <row r="33" spans="1:7" x14ac:dyDescent="0.35">
      <c r="A33" t="s">
        <v>35</v>
      </c>
      <c r="B33">
        <v>432</v>
      </c>
      <c r="C33">
        <v>432</v>
      </c>
      <c r="D33" s="2">
        <v>0.96</v>
      </c>
      <c r="E33" s="3">
        <v>3.9999999999999999E-140</v>
      </c>
      <c r="F33">
        <v>38.229999999999997</v>
      </c>
      <c r="G33" t="str">
        <f>HYPERLINK("https://www.ncbi.nlm.nih.gov/nucleotide/XM_023610462.1?report=genbank&amp;log$=nucltop&amp;blast_rank=30&amp;RID=1ZZW193R013","XM_023610462.1")</f>
        <v>XM_023610462.1</v>
      </c>
    </row>
    <row r="34" spans="1:7" x14ac:dyDescent="0.35">
      <c r="A34" t="s">
        <v>36</v>
      </c>
      <c r="B34">
        <v>108</v>
      </c>
      <c r="C34">
        <v>189</v>
      </c>
      <c r="D34" s="2">
        <v>0.66</v>
      </c>
      <c r="E34" s="3">
        <v>2.0000000000000001E-37</v>
      </c>
      <c r="F34">
        <v>36.57</v>
      </c>
      <c r="G34" t="str">
        <f>HYPERLINK("https://www.ncbi.nlm.nih.gov/nucleotide/AM270105.1?report=genbank&amp;log$=nucltop&amp;blast_rank=31&amp;RID=1ZZW193R013","AM270105.1")</f>
        <v>AM270105.1</v>
      </c>
    </row>
    <row r="35" spans="1:7" x14ac:dyDescent="0.35">
      <c r="A35" t="s">
        <v>39</v>
      </c>
      <c r="B35">
        <v>362</v>
      </c>
      <c r="C35">
        <v>362</v>
      </c>
      <c r="D35" s="2">
        <v>0.96</v>
      </c>
      <c r="E35" s="3">
        <v>9.0000000000000002E-113</v>
      </c>
      <c r="F35">
        <v>35.9</v>
      </c>
      <c r="G35" t="str">
        <f>HYPERLINK("https://www.ncbi.nlm.nih.gov/nucleotide/XM_025316703.1?report=genbank&amp;log$=nucltop&amp;blast_rank=32&amp;RID=1ZZW193R013","XM_025316703.1")</f>
        <v>XM_025316703.1</v>
      </c>
    </row>
    <row r="36" spans="1:7" x14ac:dyDescent="0.35">
      <c r="A36" t="s">
        <v>774</v>
      </c>
      <c r="B36">
        <v>100</v>
      </c>
      <c r="C36">
        <v>179</v>
      </c>
      <c r="D36" s="2">
        <v>0.65</v>
      </c>
      <c r="E36" s="3">
        <v>9.9999999999999993E-35</v>
      </c>
      <c r="F36">
        <v>35.619999999999997</v>
      </c>
      <c r="G36" t="str">
        <f>HYPERLINK("https://www.ncbi.nlm.nih.gov/nucleotide/AP024441.1?report=genbank&amp;log$=nucltop&amp;blast_rank=33&amp;RID=1ZZW193R013","AP024441.1")</f>
        <v>AP024441.1</v>
      </c>
    </row>
    <row r="37" spans="1:7" x14ac:dyDescent="0.35">
      <c r="A37" t="s">
        <v>775</v>
      </c>
      <c r="B37">
        <v>100</v>
      </c>
      <c r="C37">
        <v>179</v>
      </c>
      <c r="D37" s="2">
        <v>0.65</v>
      </c>
      <c r="E37" s="3">
        <v>9.9999999999999993E-35</v>
      </c>
      <c r="F37">
        <v>35.619999999999997</v>
      </c>
      <c r="G37" t="str">
        <f>HYPERLINK("https://www.ncbi.nlm.nih.gov/nucleotide/AP024432.1?report=genbank&amp;log$=nucltop&amp;blast_rank=34&amp;RID=1ZZW193R013","AP024432.1")</f>
        <v>AP024432.1</v>
      </c>
    </row>
    <row r="38" spans="1:7" x14ac:dyDescent="0.35">
      <c r="A38" t="s">
        <v>37</v>
      </c>
      <c r="B38">
        <v>305</v>
      </c>
      <c r="C38">
        <v>305</v>
      </c>
      <c r="D38" s="2">
        <v>0.92</v>
      </c>
      <c r="E38" s="3">
        <v>7.0000000000000004E-86</v>
      </c>
      <c r="F38">
        <v>35.619999999999997</v>
      </c>
      <c r="G38" t="str">
        <f>HYPERLINK("https://www.ncbi.nlm.nih.gov/nucleotide/LR732085.1?report=genbank&amp;log$=nucltop&amp;blast_rank=35&amp;RID=1ZZW193R013","LR732085.1")</f>
        <v>LR732085.1</v>
      </c>
    </row>
    <row r="39" spans="1:7" x14ac:dyDescent="0.35">
      <c r="A39" t="s">
        <v>38</v>
      </c>
      <c r="B39">
        <v>171</v>
      </c>
      <c r="C39">
        <v>171</v>
      </c>
      <c r="D39" s="2">
        <v>0.51</v>
      </c>
      <c r="E39" s="3">
        <v>4.0000000000000003E-43</v>
      </c>
      <c r="F39">
        <v>34.64</v>
      </c>
      <c r="G39" t="str">
        <f>HYPERLINK("https://www.ncbi.nlm.nih.gov/nucleotide/XM_001221435.1?report=genbank&amp;log$=nucltop&amp;blast_rank=36&amp;RID=1ZZW193R013","XM_001221435.1")</f>
        <v>XM_001221435.1</v>
      </c>
    </row>
    <row r="40" spans="1:7" x14ac:dyDescent="0.35">
      <c r="A40" t="s">
        <v>41</v>
      </c>
      <c r="B40">
        <v>184</v>
      </c>
      <c r="C40">
        <v>184</v>
      </c>
      <c r="D40" s="2">
        <v>0.66</v>
      </c>
      <c r="E40" s="3">
        <v>1E-46</v>
      </c>
      <c r="F40">
        <v>33.799999999999997</v>
      </c>
      <c r="G40" t="str">
        <f>HYPERLINK("https://www.ncbi.nlm.nih.gov/nucleotide/XM_032045412.1?report=genbank&amp;log$=nucltop&amp;blast_rank=37&amp;RID=1ZZW193R013","XM_032045412.1")</f>
        <v>XM_032045412.1</v>
      </c>
    </row>
    <row r="41" spans="1:7" x14ac:dyDescent="0.35">
      <c r="A41" t="s">
        <v>491</v>
      </c>
      <c r="B41">
        <v>188</v>
      </c>
      <c r="C41">
        <v>188</v>
      </c>
      <c r="D41" s="2">
        <v>0.66</v>
      </c>
      <c r="E41" s="3">
        <v>2.9999999999999999E-48</v>
      </c>
      <c r="F41">
        <v>33.64</v>
      </c>
      <c r="G41" t="str">
        <f>HYPERLINK("https://www.ncbi.nlm.nih.gov/nucleotide/XM_039068458.1?report=genbank&amp;log$=nucltop&amp;blast_rank=38&amp;RID=1ZZW193R013","XM_039068458.1")</f>
        <v>XM_039068458.1</v>
      </c>
    </row>
    <row r="42" spans="1:7" x14ac:dyDescent="0.35">
      <c r="A42" t="s">
        <v>40</v>
      </c>
      <c r="B42">
        <v>196</v>
      </c>
      <c r="C42">
        <v>196</v>
      </c>
      <c r="D42" s="2">
        <v>0.66</v>
      </c>
      <c r="E42" s="3">
        <v>1E-50</v>
      </c>
      <c r="F42">
        <v>33.409999999999997</v>
      </c>
      <c r="G42" t="str">
        <f>HYPERLINK("https://www.ncbi.nlm.nih.gov/nucleotide/XM_022531473.1?report=genbank&amp;log$=nucltop&amp;blast_rank=39&amp;RID=1ZZW193R013","XM_022531473.1")</f>
        <v>XM_022531473.1</v>
      </c>
    </row>
    <row r="43" spans="1:7" x14ac:dyDescent="0.35">
      <c r="A43" t="s">
        <v>44</v>
      </c>
      <c r="B43">
        <v>174</v>
      </c>
      <c r="C43">
        <v>174</v>
      </c>
      <c r="D43" s="2">
        <v>0.61</v>
      </c>
      <c r="E43" s="3">
        <v>5.0000000000000004E-44</v>
      </c>
      <c r="F43">
        <v>33.33</v>
      </c>
      <c r="G43" t="str">
        <f>HYPERLINK("https://www.ncbi.nlm.nih.gov/nucleotide/XM_033572072.1?report=genbank&amp;log$=nucltop&amp;blast_rank=40&amp;RID=1ZZW193R013","XM_033572072.1")</f>
        <v>XM_033572072.1</v>
      </c>
    </row>
    <row r="44" spans="1:7" x14ac:dyDescent="0.35">
      <c r="A44" t="s">
        <v>43</v>
      </c>
      <c r="B44">
        <v>184</v>
      </c>
      <c r="C44">
        <v>184</v>
      </c>
      <c r="D44" s="2">
        <v>0.72</v>
      </c>
      <c r="E44" s="3">
        <v>1E-46</v>
      </c>
      <c r="F44">
        <v>33.26</v>
      </c>
      <c r="G44" t="str">
        <f>HYPERLINK("https://www.ncbi.nlm.nih.gov/nucleotide/XM_022549209.1?report=genbank&amp;log$=nucltop&amp;blast_rank=41&amp;RID=1ZZW193R013","XM_022549209.1")</f>
        <v>XM_022549209.1</v>
      </c>
    </row>
    <row r="45" spans="1:7" x14ac:dyDescent="0.35">
      <c r="A45" t="s">
        <v>45</v>
      </c>
      <c r="B45">
        <v>202</v>
      </c>
      <c r="C45">
        <v>202</v>
      </c>
      <c r="D45" s="2">
        <v>0.69</v>
      </c>
      <c r="E45" s="3">
        <v>3.0000000000000002E-53</v>
      </c>
      <c r="F45">
        <v>33.26</v>
      </c>
      <c r="G45" t="str">
        <f>HYPERLINK("https://www.ncbi.nlm.nih.gov/nucleotide/XM_007926421.1?report=genbank&amp;log$=nucltop&amp;blast_rank=42&amp;RID=1ZZW193R013","XM_007926421.1")</f>
        <v>XM_007926421.1</v>
      </c>
    </row>
    <row r="46" spans="1:7" x14ac:dyDescent="0.35">
      <c r="A46" t="s">
        <v>48</v>
      </c>
      <c r="B46">
        <v>196</v>
      </c>
      <c r="C46">
        <v>196</v>
      </c>
      <c r="D46" s="2">
        <v>0.68</v>
      </c>
      <c r="E46" s="3">
        <v>5.9999999999999998E-50</v>
      </c>
      <c r="F46">
        <v>32.840000000000003</v>
      </c>
      <c r="G46" t="str">
        <f>HYPERLINK("https://www.ncbi.nlm.nih.gov/nucleotide/XM_009499650.1?report=genbank&amp;log$=nucltop&amp;blast_rank=43&amp;RID=1ZZW193R013","XM_009499650.1")</f>
        <v>XM_009499650.1</v>
      </c>
    </row>
    <row r="47" spans="1:7" x14ac:dyDescent="0.35">
      <c r="A47" t="s">
        <v>42</v>
      </c>
      <c r="B47">
        <v>191</v>
      </c>
      <c r="C47">
        <v>191</v>
      </c>
      <c r="D47" s="2">
        <v>0.66</v>
      </c>
      <c r="E47" s="3">
        <v>4.9999999999999999E-49</v>
      </c>
      <c r="F47">
        <v>32.799999999999997</v>
      </c>
      <c r="G47" t="str">
        <f>HYPERLINK("https://www.ncbi.nlm.nih.gov/nucleotide/XM_015554209.1?report=genbank&amp;log$=nucltop&amp;blast_rank=44&amp;RID=1ZZW193R013","XM_015554209.1")</f>
        <v>XM_015554209.1</v>
      </c>
    </row>
    <row r="48" spans="1:7" x14ac:dyDescent="0.35">
      <c r="A48" s="4" t="s">
        <v>65</v>
      </c>
      <c r="B48" s="4">
        <v>192</v>
      </c>
      <c r="C48" s="4">
        <v>192</v>
      </c>
      <c r="D48" s="5">
        <v>0.66</v>
      </c>
      <c r="E48" s="6">
        <v>1.9999999999999999E-49</v>
      </c>
      <c r="F48" s="4">
        <v>32.25</v>
      </c>
      <c r="G48" s="4" t="str">
        <f>HYPERLINK("https://www.ncbi.nlm.nih.gov/nucleotide/XM_026774556.1?report=genbank&amp;log$=nucltop&amp;blast_rank=45&amp;RID=1ZZW193R013","XM_026774556.1")</f>
        <v>XM_026774556.1</v>
      </c>
    </row>
    <row r="49" spans="1:7" x14ac:dyDescent="0.35">
      <c r="A49" t="s">
        <v>49</v>
      </c>
      <c r="B49">
        <v>156</v>
      </c>
      <c r="C49">
        <v>156</v>
      </c>
      <c r="D49" s="2">
        <v>0.62</v>
      </c>
      <c r="E49" s="3">
        <v>7.0000000000000003E-37</v>
      </c>
      <c r="F49">
        <v>32.25</v>
      </c>
      <c r="G49" t="str">
        <f>HYPERLINK("https://www.ncbi.nlm.nih.gov/nucleotide/XM_001217916.1?report=genbank&amp;log$=nucltop&amp;blast_rank=46&amp;RID=1ZZW193R013","XM_001217916.1")</f>
        <v>XM_001217916.1</v>
      </c>
    </row>
    <row r="50" spans="1:7" x14ac:dyDescent="0.35">
      <c r="A50" t="s">
        <v>52</v>
      </c>
      <c r="B50">
        <v>139</v>
      </c>
      <c r="C50">
        <v>139</v>
      </c>
      <c r="D50" s="2">
        <v>0.53</v>
      </c>
      <c r="E50" s="3">
        <v>1.0000000000000001E-32</v>
      </c>
      <c r="F50">
        <v>32.24</v>
      </c>
      <c r="G50" t="str">
        <f>HYPERLINK("https://www.ncbi.nlm.nih.gov/nucleotide/XM_003857413.1?report=genbank&amp;log$=nucltop&amp;blast_rank=47&amp;RID=1ZZW193R013","XM_003857413.1")</f>
        <v>XM_003857413.1</v>
      </c>
    </row>
    <row r="51" spans="1:7" x14ac:dyDescent="0.35">
      <c r="A51" s="4" t="s">
        <v>47</v>
      </c>
      <c r="B51" s="4">
        <v>188</v>
      </c>
      <c r="C51" s="4">
        <v>188</v>
      </c>
      <c r="D51" s="5">
        <v>0.66</v>
      </c>
      <c r="E51" s="6">
        <v>5.9999999999999998E-48</v>
      </c>
      <c r="F51" s="4">
        <v>32.200000000000003</v>
      </c>
      <c r="G51" s="4" t="str">
        <f>HYPERLINK("https://www.ncbi.nlm.nih.gov/nucleotide/XM_032089869.1?report=genbank&amp;log$=nucltop&amp;blast_rank=48&amp;RID=1ZZW193R013","XM_032089869.1")</f>
        <v>XM_032089869.1</v>
      </c>
    </row>
    <row r="52" spans="1:7" x14ac:dyDescent="0.35">
      <c r="A52" t="s">
        <v>795</v>
      </c>
      <c r="B52">
        <v>176</v>
      </c>
      <c r="C52">
        <v>176</v>
      </c>
      <c r="D52" s="2">
        <v>0.65</v>
      </c>
      <c r="E52" s="3">
        <v>4.0000000000000002E-42</v>
      </c>
      <c r="F52">
        <v>32.15</v>
      </c>
      <c r="G52" t="str">
        <f>HYPERLINK("https://www.ncbi.nlm.nih.gov/nucleotide/AP024418.1?report=genbank&amp;log$=nucltop&amp;blast_rank=49&amp;RID=1ZZW193R013","AP024418.1")</f>
        <v>AP024418.1</v>
      </c>
    </row>
    <row r="53" spans="1:7" x14ac:dyDescent="0.35">
      <c r="A53" t="s">
        <v>69</v>
      </c>
      <c r="B53">
        <v>192</v>
      </c>
      <c r="C53">
        <v>192</v>
      </c>
      <c r="D53" s="2">
        <v>0.66</v>
      </c>
      <c r="E53" s="3">
        <v>3.9999999999999997E-49</v>
      </c>
      <c r="F53">
        <v>32.090000000000003</v>
      </c>
      <c r="G53" t="str">
        <f>HYPERLINK("https://www.ncbi.nlm.nih.gov/nucleotide/XM_001390712.2?report=genbank&amp;log$=nucltop&amp;blast_rank=50&amp;RID=1ZZW193R013","XM_001390712.2")</f>
        <v>XM_001390712.2</v>
      </c>
    </row>
    <row r="54" spans="1:7" x14ac:dyDescent="0.35">
      <c r="A54" t="s">
        <v>51</v>
      </c>
      <c r="B54">
        <v>188</v>
      </c>
      <c r="C54">
        <v>188</v>
      </c>
      <c r="D54" s="2">
        <v>0.66</v>
      </c>
      <c r="E54" s="3">
        <v>5.9999999999999998E-48</v>
      </c>
      <c r="F54">
        <v>32.04</v>
      </c>
      <c r="G54" t="str">
        <f>HYPERLINK("https://www.ncbi.nlm.nih.gov/nucleotide/XM_025528552.1?report=genbank&amp;log$=nucltop&amp;blast_rank=51&amp;RID=1ZZW193R013","XM_025528552.1")</f>
        <v>XM_025528552.1</v>
      </c>
    </row>
    <row r="55" spans="1:7" x14ac:dyDescent="0.35">
      <c r="A55" t="s">
        <v>794</v>
      </c>
      <c r="B55">
        <v>176</v>
      </c>
      <c r="C55">
        <v>176</v>
      </c>
      <c r="D55" s="2">
        <v>0.66</v>
      </c>
      <c r="E55" s="3">
        <v>6.0000000000000005E-42</v>
      </c>
      <c r="F55">
        <v>32.020000000000003</v>
      </c>
      <c r="G55" t="str">
        <f>HYPERLINK("https://www.ncbi.nlm.nih.gov/nucleotide/AP024419.1?report=genbank&amp;log$=nucltop&amp;blast_rank=52&amp;RID=1ZZW193R013","AP024419.1")</f>
        <v>AP024419.1</v>
      </c>
    </row>
    <row r="56" spans="1:7" x14ac:dyDescent="0.35">
      <c r="A56" t="s">
        <v>54</v>
      </c>
      <c r="B56">
        <v>143</v>
      </c>
      <c r="C56">
        <v>171</v>
      </c>
      <c r="D56" s="2">
        <v>0.64</v>
      </c>
      <c r="E56" s="3">
        <v>4.0000000000000002E-32</v>
      </c>
      <c r="F56">
        <v>31.81</v>
      </c>
      <c r="G56" t="str">
        <f>HYPERLINK("https://www.ncbi.nlm.nih.gov/nucleotide/LT853692.1?report=genbank&amp;log$=nucltop&amp;blast_rank=53&amp;RID=1ZZW193R013","LT853692.1")</f>
        <v>LT853692.1</v>
      </c>
    </row>
    <row r="57" spans="1:7" x14ac:dyDescent="0.35">
      <c r="A57" s="4" t="s">
        <v>50</v>
      </c>
      <c r="B57" s="4">
        <v>196</v>
      </c>
      <c r="C57" s="4">
        <v>196</v>
      </c>
      <c r="D57" s="5">
        <v>0.66</v>
      </c>
      <c r="E57" s="6">
        <v>4E-51</v>
      </c>
      <c r="F57" s="4">
        <v>31.75</v>
      </c>
      <c r="G57" s="4" t="str">
        <f>HYPERLINK("https://www.ncbi.nlm.nih.gov/nucleotide/XM_032058508.1?report=genbank&amp;log$=nucltop&amp;blast_rank=54&amp;RID=1ZZW193R013","XM_032058508.1")</f>
        <v>XM_032058508.1</v>
      </c>
    </row>
    <row r="58" spans="1:7" x14ac:dyDescent="0.35">
      <c r="A58" t="s">
        <v>56</v>
      </c>
      <c r="B58">
        <v>174</v>
      </c>
      <c r="C58">
        <v>174</v>
      </c>
      <c r="D58" s="2">
        <v>0.66</v>
      </c>
      <c r="E58" s="3">
        <v>8.9999999999999997E-44</v>
      </c>
      <c r="F58">
        <v>31.63</v>
      </c>
      <c r="G58" t="str">
        <f>HYPERLINK("https://www.ncbi.nlm.nih.gov/nucleotide/XM_024844676.1?report=genbank&amp;log$=nucltop&amp;blast_rank=55&amp;RID=1ZZW193R013","XM_024844676.1")</f>
        <v>XM_024844676.1</v>
      </c>
    </row>
    <row r="59" spans="1:7" x14ac:dyDescent="0.35">
      <c r="A59" t="s">
        <v>53</v>
      </c>
      <c r="B59">
        <v>182</v>
      </c>
      <c r="C59">
        <v>182</v>
      </c>
      <c r="D59" s="2">
        <v>0.66</v>
      </c>
      <c r="E59" s="3">
        <v>2E-45</v>
      </c>
      <c r="F59">
        <v>31.42</v>
      </c>
      <c r="G59" t="str">
        <f>HYPERLINK("https://www.ncbi.nlm.nih.gov/nucleotide/XM_025704096.1?report=genbank&amp;log$=nucltop&amp;blast_rank=56&amp;RID=1ZZW193R013","XM_025704096.1")</f>
        <v>XM_025704096.1</v>
      </c>
    </row>
    <row r="60" spans="1:7" x14ac:dyDescent="0.35">
      <c r="A60" t="s">
        <v>57</v>
      </c>
      <c r="B60">
        <v>142</v>
      </c>
      <c r="C60">
        <v>171</v>
      </c>
      <c r="D60" s="2">
        <v>0.65</v>
      </c>
      <c r="E60" s="3">
        <v>4.0000000000000002E-32</v>
      </c>
      <c r="F60">
        <v>31.27</v>
      </c>
      <c r="G60" t="str">
        <f>HYPERLINK("https://www.ncbi.nlm.nih.gov/nucleotide/LT854253.1?report=genbank&amp;log$=nucltop&amp;blast_rank=57&amp;RID=1ZZW193R013","LT854253.1")</f>
        <v>LT854253.1</v>
      </c>
    </row>
    <row r="61" spans="1:7" x14ac:dyDescent="0.35">
      <c r="A61" t="s">
        <v>58</v>
      </c>
      <c r="B61">
        <v>142</v>
      </c>
      <c r="C61">
        <v>171</v>
      </c>
      <c r="D61" s="2">
        <v>0.65</v>
      </c>
      <c r="E61" s="3">
        <v>5.0000000000000004E-32</v>
      </c>
      <c r="F61">
        <v>31.27</v>
      </c>
      <c r="G61" t="str">
        <f>HYPERLINK("https://www.ncbi.nlm.nih.gov/nucleotide/LT854273.1?report=genbank&amp;log$=nucltop&amp;blast_rank=58&amp;RID=1ZZW193R013","LT854273.1")</f>
        <v>LT854273.1</v>
      </c>
    </row>
    <row r="62" spans="1:7" x14ac:dyDescent="0.35">
      <c r="A62" t="s">
        <v>59</v>
      </c>
      <c r="B62">
        <v>142</v>
      </c>
      <c r="C62">
        <v>171</v>
      </c>
      <c r="D62" s="2">
        <v>0.65</v>
      </c>
      <c r="E62" s="3">
        <v>5.0000000000000004E-32</v>
      </c>
      <c r="F62">
        <v>31.27</v>
      </c>
      <c r="G62" t="str">
        <f>HYPERLINK("https://www.ncbi.nlm.nih.gov/nucleotide/LT882676.1?report=genbank&amp;log$=nucltop&amp;blast_rank=59&amp;RID=1ZZW193R013","LT882676.1")</f>
        <v>LT882676.1</v>
      </c>
    </row>
    <row r="63" spans="1:7" x14ac:dyDescent="0.35">
      <c r="A63" s="4" t="s">
        <v>60</v>
      </c>
      <c r="B63" s="4">
        <v>175</v>
      </c>
      <c r="C63" s="4">
        <v>175</v>
      </c>
      <c r="D63" s="5">
        <v>0.66</v>
      </c>
      <c r="E63" s="6">
        <v>6.0000000000000001E-43</v>
      </c>
      <c r="F63" s="4">
        <v>30.99</v>
      </c>
      <c r="G63" s="4" t="str">
        <f>HYPERLINK("https://www.ncbi.nlm.nih.gov/nucleotide/XM_035498527.1?report=genbank&amp;log$=nucltop&amp;blast_rank=60&amp;RID=1ZZW193R013","XM_035498527.1")</f>
        <v>XM_035498527.1</v>
      </c>
    </row>
    <row r="64" spans="1:7" x14ac:dyDescent="0.35">
      <c r="A64" t="s">
        <v>80</v>
      </c>
      <c r="B64">
        <v>173</v>
      </c>
      <c r="C64">
        <v>173</v>
      </c>
      <c r="D64" s="2">
        <v>0.66</v>
      </c>
      <c r="E64" s="3">
        <v>3.0000000000000003E-42</v>
      </c>
      <c r="F64">
        <v>30.99</v>
      </c>
      <c r="G64" t="str">
        <f>HYPERLINK("https://www.ncbi.nlm.nih.gov/nucleotide/XM_025662501.1?report=genbank&amp;log$=nucltop&amp;blast_rank=61&amp;RID=1ZZW193R013","XM_025662501.1")</f>
        <v>XM_025662501.1</v>
      </c>
    </row>
    <row r="65" spans="1:7" x14ac:dyDescent="0.35">
      <c r="A65" s="4" t="s">
        <v>55</v>
      </c>
      <c r="B65" s="4">
        <v>182</v>
      </c>
      <c r="C65" s="4">
        <v>182</v>
      </c>
      <c r="D65" s="5">
        <v>0.68</v>
      </c>
      <c r="E65" s="6">
        <v>9.9999999999999998E-46</v>
      </c>
      <c r="F65" s="4">
        <v>30.94</v>
      </c>
      <c r="G65" s="4" t="str">
        <f>HYPERLINK("https://www.ncbi.nlm.nih.gov/nucleotide/XM_032074407.1?report=genbank&amp;log$=nucltop&amp;blast_rank=62&amp;RID=1ZZW193R013","XM_032074407.1")</f>
        <v>XM_032074407.1</v>
      </c>
    </row>
    <row r="66" spans="1:7" x14ac:dyDescent="0.35">
      <c r="A66" t="s">
        <v>61</v>
      </c>
      <c r="B66">
        <v>162</v>
      </c>
      <c r="C66">
        <v>162</v>
      </c>
      <c r="D66" s="2">
        <v>0.75</v>
      </c>
      <c r="E66" s="3">
        <v>9.9999999999999996E-39</v>
      </c>
      <c r="F66">
        <v>30.72</v>
      </c>
      <c r="G66" t="str">
        <f>HYPERLINK("https://www.ncbi.nlm.nih.gov/nucleotide/XM_024831712.1?report=genbank&amp;log$=nucltop&amp;blast_rank=63&amp;RID=1ZZW193R013","XM_024831712.1")</f>
        <v>XM_024831712.1</v>
      </c>
    </row>
    <row r="67" spans="1:7" x14ac:dyDescent="0.35">
      <c r="A67" s="4" t="s">
        <v>66</v>
      </c>
      <c r="B67" s="4">
        <v>166</v>
      </c>
      <c r="C67" s="4">
        <v>166</v>
      </c>
      <c r="D67" s="5">
        <v>0.66</v>
      </c>
      <c r="E67" s="6">
        <v>9.9999999999999993E-41</v>
      </c>
      <c r="F67" s="4">
        <v>30.66</v>
      </c>
      <c r="G67" s="4" t="str">
        <f>HYPERLINK("https://www.ncbi.nlm.nih.gov/nucleotide/XM_035498118.1?report=genbank&amp;log$=nucltop&amp;blast_rank=64&amp;RID=1ZZW193R013","XM_035498118.1")</f>
        <v>XM_035498118.1</v>
      </c>
    </row>
    <row r="68" spans="1:7" x14ac:dyDescent="0.35">
      <c r="A68" t="s">
        <v>68</v>
      </c>
      <c r="B68">
        <v>141</v>
      </c>
      <c r="C68">
        <v>141</v>
      </c>
      <c r="D68" s="2">
        <v>0.57999999999999996</v>
      </c>
      <c r="E68" s="3">
        <v>2.0000000000000001E-32</v>
      </c>
      <c r="F68">
        <v>30.1</v>
      </c>
      <c r="G68" t="str">
        <f>HYPERLINK("https://www.ncbi.nlm.nih.gov/nucleotide/XM_001262908.1?report=genbank&amp;log$=nucltop&amp;blast_rank=65&amp;RID=1ZZW193R013","XM_001262908.1")</f>
        <v>XM_001262908.1</v>
      </c>
    </row>
    <row r="69" spans="1:7" x14ac:dyDescent="0.35">
      <c r="A69" t="s">
        <v>69</v>
      </c>
      <c r="B69">
        <v>167</v>
      </c>
      <c r="C69">
        <v>167</v>
      </c>
      <c r="D69" s="2">
        <v>0.83</v>
      </c>
      <c r="E69" s="3">
        <v>9.9999999999999993E-41</v>
      </c>
      <c r="F69">
        <v>30.02</v>
      </c>
      <c r="G69" t="str">
        <f>HYPERLINK("https://www.ncbi.nlm.nih.gov/nucleotide/XM_001401884.2?report=genbank&amp;log$=nucltop&amp;blast_rank=66&amp;RID=1ZZW193R013","XM_001401884.2")</f>
        <v>XM_001401884.2</v>
      </c>
    </row>
    <row r="70" spans="1:7" x14ac:dyDescent="0.35">
      <c r="A70" t="s">
        <v>72</v>
      </c>
      <c r="B70">
        <v>167</v>
      </c>
      <c r="C70">
        <v>167</v>
      </c>
      <c r="D70" s="2">
        <v>0.83</v>
      </c>
      <c r="E70" s="3">
        <v>3.9999999999999997E-40</v>
      </c>
      <c r="F70">
        <v>30.02</v>
      </c>
      <c r="G70" t="str">
        <f>HYPERLINK("https://www.ncbi.nlm.nih.gov/nucleotide/XM_025601684.1?report=genbank&amp;log$=nucltop&amp;blast_rank=67&amp;RID=1ZZW193R013","XM_025601684.1")</f>
        <v>XM_025601684.1</v>
      </c>
    </row>
    <row r="71" spans="1:7" x14ac:dyDescent="0.35">
      <c r="A71" t="s">
        <v>71</v>
      </c>
      <c r="B71">
        <v>134</v>
      </c>
      <c r="C71">
        <v>134</v>
      </c>
      <c r="D71" s="2">
        <v>0.6</v>
      </c>
      <c r="E71" s="3">
        <v>3.9999999999999998E-29</v>
      </c>
      <c r="F71">
        <v>29.87</v>
      </c>
      <c r="G71" t="str">
        <f>HYPERLINK("https://www.ncbi.nlm.nih.gov/nucleotide/XM_025658697.1?report=genbank&amp;log$=nucltop&amp;blast_rank=68&amp;RID=1ZZW193R013","XM_025658697.1")</f>
        <v>XM_025658697.1</v>
      </c>
    </row>
    <row r="72" spans="1:7" x14ac:dyDescent="0.35">
      <c r="A72" t="s">
        <v>64</v>
      </c>
      <c r="B72">
        <v>149</v>
      </c>
      <c r="C72">
        <v>149</v>
      </c>
      <c r="D72" s="2">
        <v>0.67</v>
      </c>
      <c r="E72" s="3">
        <v>6.9999999999999997E-34</v>
      </c>
      <c r="F72">
        <v>29.77</v>
      </c>
      <c r="G72" t="str">
        <f>HYPERLINK("https://www.ncbi.nlm.nih.gov/nucleotide/XM_025524425.1?report=genbank&amp;log$=nucltop&amp;blast_rank=69&amp;RID=1ZZW193R013","XM_025524425.1")</f>
        <v>XM_025524425.1</v>
      </c>
    </row>
    <row r="73" spans="1:7" x14ac:dyDescent="0.35">
      <c r="A73" t="s">
        <v>62</v>
      </c>
      <c r="B73">
        <v>129</v>
      </c>
      <c r="C73">
        <v>129</v>
      </c>
      <c r="D73" s="2">
        <v>0.53</v>
      </c>
      <c r="E73" s="3">
        <v>2.0000000000000001E-27</v>
      </c>
      <c r="F73">
        <v>29.66</v>
      </c>
      <c r="G73" t="str">
        <f>HYPERLINK("https://www.ncbi.nlm.nih.gov/nucleotide/XM_025673733.1?report=genbank&amp;log$=nucltop&amp;blast_rank=70&amp;RID=1ZZW193R013","XM_025673733.1")</f>
        <v>XM_025673733.1</v>
      </c>
    </row>
    <row r="74" spans="1:7" x14ac:dyDescent="0.35">
      <c r="A74" t="s">
        <v>77</v>
      </c>
      <c r="B74">
        <v>130</v>
      </c>
      <c r="C74">
        <v>130</v>
      </c>
      <c r="D74" s="2">
        <v>0.6</v>
      </c>
      <c r="E74" s="3">
        <v>1E-27</v>
      </c>
      <c r="F74">
        <v>29.44</v>
      </c>
      <c r="G74" t="str">
        <f>HYPERLINK("https://www.ncbi.nlm.nih.gov/nucleotide/XM_025680603.1?report=genbank&amp;log$=nucltop&amp;blast_rank=71&amp;RID=1ZZW193R013","XM_025680603.1")</f>
        <v>XM_025680603.1</v>
      </c>
    </row>
    <row r="75" spans="1:7" x14ac:dyDescent="0.35">
      <c r="A75" t="s">
        <v>79</v>
      </c>
      <c r="B75">
        <v>162</v>
      </c>
      <c r="C75">
        <v>162</v>
      </c>
      <c r="D75" s="2">
        <v>0.61</v>
      </c>
      <c r="E75" s="3">
        <v>4.9999999999999998E-39</v>
      </c>
      <c r="F75">
        <v>29.37</v>
      </c>
      <c r="G75" t="str">
        <f>HYPERLINK("https://www.ncbi.nlm.nih.gov/nucleotide/XM_033553550.1?report=genbank&amp;log$=nucltop&amp;blast_rank=72&amp;RID=1ZZW193R013","XM_033553550.1")</f>
        <v>XM_033553550.1</v>
      </c>
    </row>
    <row r="76" spans="1:7" x14ac:dyDescent="0.35">
      <c r="A76" t="s">
        <v>63</v>
      </c>
      <c r="B76">
        <v>130</v>
      </c>
      <c r="C76">
        <v>130</v>
      </c>
      <c r="D76" s="2">
        <v>0.53</v>
      </c>
      <c r="E76" s="3">
        <v>1E-27</v>
      </c>
      <c r="F76">
        <v>29.34</v>
      </c>
      <c r="G76" t="str">
        <f>HYPERLINK("https://www.ncbi.nlm.nih.gov/nucleotide/XM_025640972.1?report=genbank&amp;log$=nucltop&amp;blast_rank=73&amp;RID=1ZZW193R013","XM_025640972.1")</f>
        <v>XM_025640972.1</v>
      </c>
    </row>
    <row r="77" spans="1:7" x14ac:dyDescent="0.35">
      <c r="A77" t="s">
        <v>67</v>
      </c>
      <c r="B77">
        <v>124</v>
      </c>
      <c r="C77">
        <v>124</v>
      </c>
      <c r="D77" s="2">
        <v>0.51</v>
      </c>
      <c r="E77" s="3">
        <v>8.0000000000000003E-26</v>
      </c>
      <c r="F77">
        <v>29.24</v>
      </c>
      <c r="G77" t="str">
        <f>HYPERLINK("https://www.ncbi.nlm.nih.gov/nucleotide/XM_025589412.1?report=genbank&amp;log$=nucltop&amp;blast_rank=74&amp;RID=1ZZW193R013","XM_025589412.1")</f>
        <v>XM_025589412.1</v>
      </c>
    </row>
    <row r="78" spans="1:7" x14ac:dyDescent="0.35">
      <c r="A78" t="s">
        <v>78</v>
      </c>
      <c r="B78">
        <v>146</v>
      </c>
      <c r="C78">
        <v>146</v>
      </c>
      <c r="D78" s="2">
        <v>0.61</v>
      </c>
      <c r="E78" s="3">
        <v>1.9999999999999999E-34</v>
      </c>
      <c r="F78">
        <v>29.23</v>
      </c>
      <c r="G78" t="str">
        <f>HYPERLINK("https://www.ncbi.nlm.nih.gov/nucleotide/XM_001262909.1?report=genbank&amp;log$=nucltop&amp;blast_rank=75&amp;RID=1ZZW193R013","XM_001262909.1")</f>
        <v>XM_001262909.1</v>
      </c>
    </row>
    <row r="79" spans="1:7" x14ac:dyDescent="0.35">
      <c r="A79" t="s">
        <v>85</v>
      </c>
      <c r="B79">
        <v>187</v>
      </c>
      <c r="C79">
        <v>187</v>
      </c>
      <c r="D79" s="2">
        <v>0.83</v>
      </c>
      <c r="E79" s="3">
        <v>6.9999999999999998E-48</v>
      </c>
      <c r="F79">
        <v>29.12</v>
      </c>
      <c r="G79" t="str">
        <f>HYPERLINK("https://www.ncbi.nlm.nih.gov/nucleotide/XM_002559523.1?report=genbank&amp;log$=nucltop&amp;blast_rank=76&amp;RID=1ZZW193R013","XM_002559523.1")</f>
        <v>XM_002559523.1</v>
      </c>
    </row>
    <row r="80" spans="1:7" x14ac:dyDescent="0.35">
      <c r="A80" t="s">
        <v>90</v>
      </c>
      <c r="B80">
        <v>162</v>
      </c>
      <c r="C80">
        <v>162</v>
      </c>
      <c r="D80" s="2">
        <v>0.66</v>
      </c>
      <c r="E80" s="3">
        <v>2.9999999999999999E-38</v>
      </c>
      <c r="F80">
        <v>29.08</v>
      </c>
      <c r="G80" t="str">
        <f>HYPERLINK("https://www.ncbi.nlm.nih.gov/nucleotide/XM_025683366.1?report=genbank&amp;log$=nucltop&amp;blast_rank=77&amp;RID=1ZZW193R013","XM_025683366.1")</f>
        <v>XM_025683366.1</v>
      </c>
    </row>
    <row r="81" spans="1:7" x14ac:dyDescent="0.35">
      <c r="A81" t="s">
        <v>76</v>
      </c>
      <c r="B81">
        <v>147</v>
      </c>
      <c r="C81">
        <v>147</v>
      </c>
      <c r="D81" s="2">
        <v>0.65</v>
      </c>
      <c r="E81" s="3">
        <v>2.0000000000000001E-33</v>
      </c>
      <c r="F81">
        <v>29.04</v>
      </c>
      <c r="G81" t="str">
        <f>HYPERLINK("https://www.ncbi.nlm.nih.gov/nucleotide/XM_026762387.1?report=genbank&amp;log$=nucltop&amp;blast_rank=78&amp;RID=1ZZW193R013","XM_026762387.1")</f>
        <v>XM_026762387.1</v>
      </c>
    </row>
    <row r="82" spans="1:7" x14ac:dyDescent="0.35">
      <c r="A82" t="s">
        <v>81</v>
      </c>
      <c r="B82">
        <v>137</v>
      </c>
      <c r="C82">
        <v>137</v>
      </c>
      <c r="D82" s="2">
        <v>0.64</v>
      </c>
      <c r="E82" s="3">
        <v>2.0000000000000002E-30</v>
      </c>
      <c r="F82">
        <v>28.71</v>
      </c>
      <c r="G82" t="str">
        <f>HYPERLINK("https://www.ncbi.nlm.nih.gov/nucleotide/XM_011327711.1?report=genbank&amp;log$=nucltop&amp;blast_rank=79&amp;RID=1ZZW193R013","XM_011327711.1")</f>
        <v>XM_011327711.1</v>
      </c>
    </row>
    <row r="83" spans="1:7" x14ac:dyDescent="0.35">
      <c r="A83" t="s">
        <v>70</v>
      </c>
      <c r="B83">
        <v>122</v>
      </c>
      <c r="C83">
        <v>122</v>
      </c>
      <c r="D83" s="2">
        <v>0.51</v>
      </c>
      <c r="E83" s="3">
        <v>5.9999999999999995E-25</v>
      </c>
      <c r="F83">
        <v>28.65</v>
      </c>
      <c r="G83" t="str">
        <f>HYPERLINK("https://www.ncbi.nlm.nih.gov/nucleotide/XM_020201213.1?report=genbank&amp;log$=nucltop&amp;blast_rank=80&amp;RID=1ZZW193R013","XM_020201213.1")</f>
        <v>XM_020201213.1</v>
      </c>
    </row>
    <row r="84" spans="1:7" x14ac:dyDescent="0.35">
      <c r="A84" t="s">
        <v>84</v>
      </c>
      <c r="B84">
        <v>161</v>
      </c>
      <c r="C84">
        <v>161</v>
      </c>
      <c r="D84" s="2">
        <v>0.72</v>
      </c>
      <c r="E84" s="3">
        <v>1.9999999999999999E-38</v>
      </c>
      <c r="F84">
        <v>28.33</v>
      </c>
      <c r="G84" t="str">
        <f>HYPERLINK("https://www.ncbi.nlm.nih.gov/nucleotide/XM_023599633.1?report=genbank&amp;log$=nucltop&amp;blast_rank=81&amp;RID=1ZZW193R013","XM_023599633.1")</f>
        <v>XM_023599633.1</v>
      </c>
    </row>
    <row r="85" spans="1:7" x14ac:dyDescent="0.35">
      <c r="A85" t="s">
        <v>743</v>
      </c>
      <c r="B85">
        <v>136</v>
      </c>
      <c r="C85">
        <v>169</v>
      </c>
      <c r="D85" s="2">
        <v>0.65</v>
      </c>
      <c r="E85" s="3">
        <v>9.0000000000000001E-32</v>
      </c>
      <c r="F85">
        <v>28.16</v>
      </c>
      <c r="G85" t="str">
        <f>HYPERLINK("https://www.ncbi.nlm.nih.gov/nucleotide/CP066504.1?report=genbank&amp;log$=nucltop&amp;blast_rank=82&amp;RID=1ZZW193R013","CP066504.1")</f>
        <v>CP066504.1</v>
      </c>
    </row>
    <row r="86" spans="1:7" x14ac:dyDescent="0.35">
      <c r="A86" t="s">
        <v>96</v>
      </c>
      <c r="B86">
        <v>142</v>
      </c>
      <c r="C86">
        <v>142</v>
      </c>
      <c r="D86" s="2">
        <v>0.83</v>
      </c>
      <c r="E86" s="3">
        <v>2.0000000000000002E-31</v>
      </c>
      <c r="F86">
        <v>28.12</v>
      </c>
      <c r="G86" t="str">
        <f>HYPERLINK("https://www.ncbi.nlm.nih.gov/nucleotide/XM_026772820.1?report=genbank&amp;log$=nucltop&amp;blast_rank=83&amp;RID=1ZZW193R013","XM_026772820.1")</f>
        <v>XM_026772820.1</v>
      </c>
    </row>
    <row r="87" spans="1:7" x14ac:dyDescent="0.35">
      <c r="A87" t="s">
        <v>83</v>
      </c>
      <c r="B87">
        <v>122</v>
      </c>
      <c r="C87">
        <v>122</v>
      </c>
      <c r="D87" s="2">
        <v>0.65</v>
      </c>
      <c r="E87" s="3">
        <v>1.9999999999999998E-24</v>
      </c>
      <c r="F87">
        <v>28.12</v>
      </c>
      <c r="G87" t="str">
        <f>HYPERLINK("https://www.ncbi.nlm.nih.gov/nucleotide/LR699119.1?report=genbank&amp;log$=nucltop&amp;blast_rank=84&amp;RID=1ZZW193R013","LR699119.1")</f>
        <v>LR699119.1</v>
      </c>
    </row>
    <row r="88" spans="1:7" x14ac:dyDescent="0.35">
      <c r="A88" t="s">
        <v>82</v>
      </c>
      <c r="B88">
        <v>120</v>
      </c>
      <c r="C88">
        <v>120</v>
      </c>
      <c r="D88" s="2">
        <v>0.6</v>
      </c>
      <c r="E88" s="3">
        <v>2.0000000000000001E-25</v>
      </c>
      <c r="F88">
        <v>28.06</v>
      </c>
      <c r="G88" t="str">
        <f>HYPERLINK("https://www.ncbi.nlm.nih.gov/nucleotide/XM_033601052.1?report=genbank&amp;log$=nucltop&amp;blast_rank=85&amp;RID=1ZZW193R013","XM_033601052.1")</f>
        <v>XM_033601052.1</v>
      </c>
    </row>
    <row r="89" spans="1:7" x14ac:dyDescent="0.35">
      <c r="A89" t="s">
        <v>86</v>
      </c>
      <c r="B89">
        <v>142</v>
      </c>
      <c r="C89">
        <v>174</v>
      </c>
      <c r="D89" s="2">
        <v>0.63</v>
      </c>
      <c r="E89" s="3">
        <v>3.0000000000000002E-33</v>
      </c>
      <c r="F89">
        <v>28.01</v>
      </c>
      <c r="G89" t="str">
        <f>HYPERLINK("https://www.ncbi.nlm.nih.gov/nucleotide/AM920428.1?report=genbank&amp;log$=nucltop&amp;blast_rank=86&amp;RID=1ZZW193R013","AM920428.1")</f>
        <v>AM920428.1</v>
      </c>
    </row>
    <row r="90" spans="1:7" x14ac:dyDescent="0.35">
      <c r="A90" t="s">
        <v>89</v>
      </c>
      <c r="B90">
        <v>140</v>
      </c>
      <c r="C90">
        <v>140</v>
      </c>
      <c r="D90" s="2">
        <v>0.65</v>
      </c>
      <c r="E90" s="3">
        <v>5.0000000000000004E-31</v>
      </c>
      <c r="F90">
        <v>28</v>
      </c>
      <c r="G90" t="str">
        <f>HYPERLINK("https://www.ncbi.nlm.nih.gov/nucleotide/XM_024828224.1?report=genbank&amp;log$=nucltop&amp;blast_rank=87&amp;RID=1ZZW193R013","XM_024828224.1")</f>
        <v>XM_024828224.1</v>
      </c>
    </row>
    <row r="91" spans="1:7" x14ac:dyDescent="0.35">
      <c r="A91" s="4" t="s">
        <v>87</v>
      </c>
      <c r="B91" s="4">
        <v>140</v>
      </c>
      <c r="C91" s="4">
        <v>140</v>
      </c>
      <c r="D91" s="5">
        <v>0.64</v>
      </c>
      <c r="E91" s="6">
        <v>1.0000000000000001E-30</v>
      </c>
      <c r="F91" s="4">
        <v>27.95</v>
      </c>
      <c r="G91" s="4" t="str">
        <f>HYPERLINK("https://www.ncbi.nlm.nih.gov/nucleotide/XM_007819030.2?report=genbank&amp;log$=nucltop&amp;blast_rank=88&amp;RID=1ZZW193R013","XM_007819030.2")</f>
        <v>XM_007819030.2</v>
      </c>
    </row>
    <row r="92" spans="1:7" x14ac:dyDescent="0.35">
      <c r="A92" t="s">
        <v>88</v>
      </c>
      <c r="B92">
        <v>115</v>
      </c>
      <c r="C92">
        <v>115</v>
      </c>
      <c r="D92" s="2">
        <v>0.59</v>
      </c>
      <c r="E92" s="3">
        <v>9.9999999999999996E-24</v>
      </c>
      <c r="F92">
        <v>27.94</v>
      </c>
      <c r="G92" t="str">
        <f>HYPERLINK("https://www.ncbi.nlm.nih.gov/nucleotide/XM_032059862.1?report=genbank&amp;log$=nucltop&amp;blast_rank=89&amp;RID=1ZZW193R013","XM_032059862.1")</f>
        <v>XM_032059862.1</v>
      </c>
    </row>
    <row r="93" spans="1:7" x14ac:dyDescent="0.35">
      <c r="A93" t="s">
        <v>91</v>
      </c>
      <c r="B93">
        <v>137</v>
      </c>
      <c r="C93">
        <v>137</v>
      </c>
      <c r="D93" s="2">
        <v>0.61</v>
      </c>
      <c r="E93" s="3">
        <v>1.9999999999999999E-29</v>
      </c>
      <c r="F93">
        <v>27.93</v>
      </c>
      <c r="G93" t="str">
        <f>HYPERLINK("https://www.ncbi.nlm.nih.gov/nucleotide/CP051096.1?report=genbank&amp;log$=nucltop&amp;blast_rank=90&amp;RID=1ZZW193R013","CP051096.1")</f>
        <v>CP051096.1</v>
      </c>
    </row>
    <row r="94" spans="1:7" x14ac:dyDescent="0.35">
      <c r="A94" t="s">
        <v>92</v>
      </c>
      <c r="B94">
        <v>137</v>
      </c>
      <c r="C94">
        <v>137</v>
      </c>
      <c r="D94" s="2">
        <v>0.61</v>
      </c>
      <c r="E94" s="3">
        <v>1.9999999999999999E-29</v>
      </c>
      <c r="F94">
        <v>27.93</v>
      </c>
      <c r="G94" t="str">
        <f>HYPERLINK("https://www.ncbi.nlm.nih.gov/nucleotide/CP051080.1?report=genbank&amp;log$=nucltop&amp;blast_rank=91&amp;RID=1ZZW193R013","CP051080.1")</f>
        <v>CP051080.1</v>
      </c>
    </row>
    <row r="95" spans="1:7" x14ac:dyDescent="0.35">
      <c r="A95" t="s">
        <v>93</v>
      </c>
      <c r="B95">
        <v>137</v>
      </c>
      <c r="C95">
        <v>137</v>
      </c>
      <c r="D95" s="2">
        <v>0.61</v>
      </c>
      <c r="E95" s="3">
        <v>1.9999999999999999E-29</v>
      </c>
      <c r="F95">
        <v>27.93</v>
      </c>
      <c r="G95" t="str">
        <f>HYPERLINK("https://www.ncbi.nlm.nih.gov/nucleotide/CP051024.1?report=genbank&amp;log$=nucltop&amp;blast_rank=92&amp;RID=1ZZW193R013","CP051024.1")</f>
        <v>CP051024.1</v>
      </c>
    </row>
    <row r="96" spans="1:7" x14ac:dyDescent="0.35">
      <c r="A96" t="s">
        <v>94</v>
      </c>
      <c r="B96">
        <v>137</v>
      </c>
      <c r="C96">
        <v>137</v>
      </c>
      <c r="D96" s="2">
        <v>0.61</v>
      </c>
      <c r="E96" s="3">
        <v>1.9999999999999999E-29</v>
      </c>
      <c r="F96">
        <v>27.93</v>
      </c>
      <c r="G96" t="str">
        <f>HYPERLINK("https://www.ncbi.nlm.nih.gov/nucleotide/CP051064.1?report=genbank&amp;log$=nucltop&amp;blast_rank=93&amp;RID=1ZZW193R013","CP051064.1")</f>
        <v>CP051064.1</v>
      </c>
    </row>
    <row r="97" spans="1:7" x14ac:dyDescent="0.35">
      <c r="A97" t="s">
        <v>95</v>
      </c>
      <c r="B97">
        <v>137</v>
      </c>
      <c r="C97">
        <v>137</v>
      </c>
      <c r="D97" s="2">
        <v>0.61</v>
      </c>
      <c r="E97" s="3">
        <v>1.9999999999999999E-29</v>
      </c>
      <c r="F97">
        <v>27.93</v>
      </c>
      <c r="G97" t="str">
        <f>HYPERLINK("https://www.ncbi.nlm.nih.gov/nucleotide/CP051074.1?report=genbank&amp;log$=nucltop&amp;blast_rank=94&amp;RID=1ZZW193R013","CP051074.1")</f>
        <v>CP051074.1</v>
      </c>
    </row>
    <row r="98" spans="1:7" x14ac:dyDescent="0.35">
      <c r="A98" t="s">
        <v>98</v>
      </c>
      <c r="B98">
        <v>137</v>
      </c>
      <c r="C98">
        <v>267</v>
      </c>
      <c r="D98" s="2">
        <v>0.73</v>
      </c>
      <c r="E98" s="3">
        <v>1.9999999999999999E-29</v>
      </c>
      <c r="F98">
        <v>27.03</v>
      </c>
      <c r="G98" t="str">
        <f>HYPERLINK("https://www.ncbi.nlm.nih.gov/nucleotide/XM_026749516.1?report=genbank&amp;log$=nucltop&amp;blast_rank=95&amp;RID=1ZZW193R013","XM_026749516.1")</f>
        <v>XM_026749516.1</v>
      </c>
    </row>
    <row r="99" spans="1:7" x14ac:dyDescent="0.35">
      <c r="A99" t="s">
        <v>97</v>
      </c>
      <c r="B99">
        <v>139</v>
      </c>
      <c r="C99">
        <v>139</v>
      </c>
      <c r="D99" s="2">
        <v>0.65</v>
      </c>
      <c r="E99" s="3">
        <v>8.0000000000000007E-31</v>
      </c>
      <c r="F99">
        <v>26.95</v>
      </c>
      <c r="G99" t="str">
        <f>HYPERLINK("https://www.ncbi.nlm.nih.gov/nucleotide/XM_035484606.1?report=genbank&amp;log$=nucltop&amp;blast_rank=96&amp;RID=1ZZW193R013","XM_035484606.1")</f>
        <v>XM_035484606.1</v>
      </c>
    </row>
    <row r="100" spans="1:7" x14ac:dyDescent="0.35">
      <c r="A100" s="4" t="s">
        <v>99</v>
      </c>
      <c r="B100" s="4">
        <v>138</v>
      </c>
      <c r="C100" s="4">
        <v>138</v>
      </c>
      <c r="D100" s="5">
        <v>0.66</v>
      </c>
      <c r="E100" s="6">
        <v>8.0000000000000007E-30</v>
      </c>
      <c r="F100" s="4">
        <v>26.85</v>
      </c>
      <c r="G100" s="4" t="str">
        <f>HYPERLINK("https://www.ncbi.nlm.nih.gov/nucleotide/XM_014687487.1?report=genbank&amp;log$=nucltop&amp;blast_rank=97&amp;RID=1ZZW193R013","XM_014687487.1")</f>
        <v>XM_014687487.1</v>
      </c>
    </row>
    <row r="101" spans="1:7" x14ac:dyDescent="0.35">
      <c r="A101" t="s">
        <v>101</v>
      </c>
      <c r="B101">
        <v>130</v>
      </c>
      <c r="C101">
        <v>130</v>
      </c>
      <c r="D101" s="2">
        <v>0.69</v>
      </c>
      <c r="E101" s="3">
        <v>1.9999999999999999E-28</v>
      </c>
      <c r="F101">
        <v>26</v>
      </c>
      <c r="G101" t="str">
        <f>HYPERLINK("https://www.ncbi.nlm.nih.gov/nucleotide/XM_023596533.1?report=genbank&amp;log$=nucltop&amp;blast_rank=98&amp;RID=1ZZW193R013","XM_023596533.1")</f>
        <v>XM_023596533.1</v>
      </c>
    </row>
    <row r="102" spans="1:7" x14ac:dyDescent="0.35">
      <c r="A102" t="s">
        <v>102</v>
      </c>
      <c r="B102">
        <v>111</v>
      </c>
      <c r="C102">
        <v>142</v>
      </c>
      <c r="D102" s="2">
        <v>0.62</v>
      </c>
      <c r="E102" s="3">
        <v>9.9999999999999996E-24</v>
      </c>
      <c r="F102">
        <v>25.56</v>
      </c>
      <c r="G102" t="str">
        <f>HYPERLINK("https://www.ncbi.nlm.nih.gov/nucleotide/CP055898.1?report=genbank&amp;log$=nucltop&amp;blast_rank=99&amp;RID=1ZZW193R013","CP055898.1")</f>
        <v>CP055898.1</v>
      </c>
    </row>
    <row r="103" spans="1:7" x14ac:dyDescent="0.35">
      <c r="A103" t="s">
        <v>105</v>
      </c>
      <c r="B103">
        <v>137</v>
      </c>
      <c r="C103">
        <v>137</v>
      </c>
      <c r="D103" s="2">
        <v>0.74</v>
      </c>
      <c r="E103" s="3">
        <v>1.9999999999999999E-29</v>
      </c>
      <c r="F103">
        <v>25.15</v>
      </c>
      <c r="G103" t="str">
        <f>HYPERLINK("https://www.ncbi.nlm.nih.gov/nucleotide/XM_033555780.1?report=genbank&amp;log$=nucltop&amp;blast_rank=100&amp;RID=1ZZW193R013","XM_033555780.1")</f>
        <v>XM_033555780.1</v>
      </c>
    </row>
    <row r="104" spans="1:7" x14ac:dyDescent="0.35">
      <c r="A104" s="1" t="s">
        <v>1068</v>
      </c>
    </row>
    <row r="105" spans="1:7" x14ac:dyDescent="0.35">
      <c r="A105" s="1" t="s">
        <v>2</v>
      </c>
      <c r="B105" s="1" t="s">
        <v>3</v>
      </c>
      <c r="C105" s="1" t="s">
        <v>4</v>
      </c>
      <c r="D105" s="1" t="s">
        <v>5</v>
      </c>
      <c r="E105" s="1" t="s">
        <v>6</v>
      </c>
      <c r="F105" s="1" t="s">
        <v>7</v>
      </c>
      <c r="G105" s="1" t="s">
        <v>8</v>
      </c>
    </row>
    <row r="106" spans="1:7" x14ac:dyDescent="0.35">
      <c r="A106" t="s">
        <v>107</v>
      </c>
      <c r="B106">
        <v>170</v>
      </c>
      <c r="C106">
        <v>217</v>
      </c>
      <c r="D106" s="2">
        <v>0.39</v>
      </c>
      <c r="E106" s="3">
        <v>2.9999999999999999E-46</v>
      </c>
      <c r="F106">
        <v>66.98</v>
      </c>
      <c r="G106" t="str">
        <f>HYPERLINK("https://www.ncbi.nlm.nih.gov/nucleotide/CP019380.1?report=genbank&amp;log$=nucltop&amp;blast_rank=1&amp;RID=1ZZZ9CUG013","CP019380.1")</f>
        <v>CP019380.1</v>
      </c>
    </row>
    <row r="107" spans="1:7" x14ac:dyDescent="0.35">
      <c r="A107" t="s">
        <v>9</v>
      </c>
      <c r="B107">
        <v>640</v>
      </c>
      <c r="C107">
        <v>640</v>
      </c>
      <c r="D107" s="2">
        <v>1</v>
      </c>
      <c r="E107">
        <v>0</v>
      </c>
      <c r="F107">
        <v>66.73</v>
      </c>
      <c r="G107" t="str">
        <f>HYPERLINK("https://www.ncbi.nlm.nih.gov/nucleotide/LR732079.1?report=genbank&amp;log$=nucltop&amp;blast_rank=2&amp;RID=1ZZZ9CUG013","LR732079.1")</f>
        <v>LR732079.1</v>
      </c>
    </row>
    <row r="108" spans="1:7" x14ac:dyDescent="0.35">
      <c r="A108" t="s">
        <v>108</v>
      </c>
      <c r="B108">
        <v>190</v>
      </c>
      <c r="C108">
        <v>190</v>
      </c>
      <c r="D108" s="2">
        <v>0.25</v>
      </c>
      <c r="E108" s="3">
        <v>1E-54</v>
      </c>
      <c r="F108">
        <v>62.31</v>
      </c>
      <c r="G108" t="str">
        <f>HYPERLINK("https://www.ncbi.nlm.nih.gov/nucleotide/XM_024486644.1?report=genbank&amp;log$=nucltop&amp;blast_rank=3&amp;RID=1ZZZ9CUG013","XM_024486644.1")</f>
        <v>XM_024486644.1</v>
      </c>
    </row>
    <row r="109" spans="1:7" x14ac:dyDescent="0.35">
      <c r="A109" t="s">
        <v>19</v>
      </c>
      <c r="B109">
        <v>213</v>
      </c>
      <c r="C109">
        <v>213</v>
      </c>
      <c r="D109" s="2">
        <v>0.35</v>
      </c>
      <c r="E109" s="3">
        <v>2.0000000000000001E-59</v>
      </c>
      <c r="F109">
        <v>58.99</v>
      </c>
      <c r="G109" t="str">
        <f>HYPERLINK("https://www.ncbi.nlm.nih.gov/nucleotide/XM_001880888.1?report=genbank&amp;log$=nucltop&amp;blast_rank=4&amp;RID=1ZZZ9CUG013","XM_001880888.1")</f>
        <v>XM_001880888.1</v>
      </c>
    </row>
    <row r="110" spans="1:7" x14ac:dyDescent="0.35">
      <c r="A110" t="s">
        <v>109</v>
      </c>
      <c r="B110">
        <v>185</v>
      </c>
      <c r="C110">
        <v>185</v>
      </c>
      <c r="D110" s="2">
        <v>0.27</v>
      </c>
      <c r="E110" s="3">
        <v>2E-52</v>
      </c>
      <c r="F110">
        <v>58.27</v>
      </c>
      <c r="G110" t="str">
        <f>HYPERLINK("https://www.ncbi.nlm.nih.gov/nucleotide/XM_007870492.1?report=genbank&amp;log$=nucltop&amp;blast_rank=5&amp;RID=1ZZZ9CUG013","XM_007870492.1")</f>
        <v>XM_007870492.1</v>
      </c>
    </row>
    <row r="111" spans="1:7" x14ac:dyDescent="0.35">
      <c r="A111" t="s">
        <v>21</v>
      </c>
      <c r="B111">
        <v>179</v>
      </c>
      <c r="C111">
        <v>179</v>
      </c>
      <c r="D111" s="2">
        <v>0.25</v>
      </c>
      <c r="E111" s="3">
        <v>2E-50</v>
      </c>
      <c r="F111">
        <v>58.14</v>
      </c>
      <c r="G111" t="str">
        <f>HYPERLINK("https://www.ncbi.nlm.nih.gov/nucleotide/XM_009546988.1?report=genbank&amp;log$=nucltop&amp;blast_rank=6&amp;RID=1ZZZ9CUG013","XM_009546988.1")</f>
        <v>XM_009546988.1</v>
      </c>
    </row>
    <row r="112" spans="1:7" x14ac:dyDescent="0.35">
      <c r="A112" t="s">
        <v>112</v>
      </c>
      <c r="B112">
        <v>170</v>
      </c>
      <c r="C112">
        <v>170</v>
      </c>
      <c r="D112" s="2">
        <v>0.24</v>
      </c>
      <c r="E112" s="3">
        <v>1E-46</v>
      </c>
      <c r="F112">
        <v>56.64</v>
      </c>
      <c r="G112" t="str">
        <f>HYPERLINK("https://www.ncbi.nlm.nih.gov/nucleotide/XM_007393520.1?report=genbank&amp;log$=nucltop&amp;blast_rank=7&amp;RID=1ZZZ9CUG013","XM_007393520.1")</f>
        <v>XM_007393520.1</v>
      </c>
    </row>
    <row r="113" spans="1:7" x14ac:dyDescent="0.35">
      <c r="A113" t="s">
        <v>111</v>
      </c>
      <c r="B113">
        <v>221</v>
      </c>
      <c r="C113">
        <v>221</v>
      </c>
      <c r="D113" s="2">
        <v>0.37</v>
      </c>
      <c r="E113" s="3">
        <v>3.9999999999999997E-65</v>
      </c>
      <c r="F113">
        <v>56.38</v>
      </c>
      <c r="G113" t="str">
        <f>HYPERLINK("https://www.ncbi.nlm.nih.gov/nucleotide/XM_007330300.1?report=genbank&amp;log$=nucltop&amp;blast_rank=8&amp;RID=1ZZZ9CUG013","XM_007330300.1")</f>
        <v>XM_007330300.1</v>
      </c>
    </row>
    <row r="114" spans="1:7" x14ac:dyDescent="0.35">
      <c r="A114" t="s">
        <v>113</v>
      </c>
      <c r="B114">
        <v>192</v>
      </c>
      <c r="C114">
        <v>192</v>
      </c>
      <c r="D114" s="2">
        <v>0.34</v>
      </c>
      <c r="E114" s="3">
        <v>3.0000000000000002E-55</v>
      </c>
      <c r="F114">
        <v>55.11</v>
      </c>
      <c r="G114" t="str">
        <f>HYPERLINK("https://www.ncbi.nlm.nih.gov/nucleotide/XM_008041408.1?report=genbank&amp;log$=nucltop&amp;blast_rank=9&amp;RID=1ZZZ9CUG013","XM_008041408.1")</f>
        <v>XM_008041408.1</v>
      </c>
    </row>
    <row r="115" spans="1:7" x14ac:dyDescent="0.35">
      <c r="A115" s="4" t="s">
        <v>114</v>
      </c>
      <c r="B115" s="4">
        <v>196</v>
      </c>
      <c r="C115" s="4">
        <v>196</v>
      </c>
      <c r="D115" s="5">
        <v>0.33</v>
      </c>
      <c r="E115" s="6">
        <v>1E-51</v>
      </c>
      <c r="F115" s="4">
        <v>54.97</v>
      </c>
      <c r="G115" s="4" t="str">
        <f>HYPERLINK("https://www.ncbi.nlm.nih.gov/nucleotide/LR724670.1?report=genbank&amp;log$=nucltop&amp;blast_rank=10&amp;RID=1ZZZ9CUG013","LR724670.1")</f>
        <v>LR724670.1</v>
      </c>
    </row>
    <row r="116" spans="1:7" x14ac:dyDescent="0.35">
      <c r="A116" t="s">
        <v>115</v>
      </c>
      <c r="B116">
        <v>194</v>
      </c>
      <c r="C116">
        <v>194</v>
      </c>
      <c r="D116" s="2">
        <v>0.33</v>
      </c>
      <c r="E116" s="3">
        <v>9.0000000000000001E-56</v>
      </c>
      <c r="F116">
        <v>53.22</v>
      </c>
      <c r="G116" t="str">
        <f>HYPERLINK("https://www.ncbi.nlm.nih.gov/nucleotide/XM_007388990.1?report=genbank&amp;log$=nucltop&amp;blast_rank=11&amp;RID=1ZZZ9CUG013","XM_007388990.1")</f>
        <v>XM_007388990.1</v>
      </c>
    </row>
    <row r="117" spans="1:7" x14ac:dyDescent="0.35">
      <c r="A117" t="s">
        <v>116</v>
      </c>
      <c r="B117">
        <v>195</v>
      </c>
      <c r="C117">
        <v>195</v>
      </c>
      <c r="D117" s="2">
        <v>0.33</v>
      </c>
      <c r="E117" s="3">
        <v>5E-51</v>
      </c>
      <c r="F117">
        <v>52.63</v>
      </c>
      <c r="G117" t="str">
        <f>HYPERLINK("https://www.ncbi.nlm.nih.gov/nucleotide/XM_007299403.1?report=genbank&amp;log$=nucltop&amp;blast_rank=12&amp;RID=1ZZZ9CUG013","XM_007299403.1")</f>
        <v>XM_007299403.1</v>
      </c>
    </row>
    <row r="118" spans="1:7" x14ac:dyDescent="0.35">
      <c r="A118" t="s">
        <v>117</v>
      </c>
      <c r="B118">
        <v>194</v>
      </c>
      <c r="C118">
        <v>194</v>
      </c>
      <c r="D118" s="2">
        <v>0.34</v>
      </c>
      <c r="E118" s="3">
        <v>3E-51</v>
      </c>
      <c r="F118">
        <v>52.25</v>
      </c>
      <c r="G118" t="str">
        <f>HYPERLINK("https://www.ncbi.nlm.nih.gov/nucleotide/XM_037359091.1?report=genbank&amp;log$=nucltop&amp;blast_rank=13&amp;RID=1ZZZ9CUG013","XM_037359091.1")</f>
        <v>XM_037359091.1</v>
      </c>
    </row>
    <row r="119" spans="1:7" x14ac:dyDescent="0.35">
      <c r="A119" t="s">
        <v>118</v>
      </c>
      <c r="B119">
        <v>223</v>
      </c>
      <c r="C119">
        <v>223</v>
      </c>
      <c r="D119" s="2">
        <v>0.45</v>
      </c>
      <c r="E119" s="3">
        <v>1E-62</v>
      </c>
      <c r="F119">
        <v>49.78</v>
      </c>
      <c r="G119" t="str">
        <f>HYPERLINK("https://www.ncbi.nlm.nih.gov/nucleotide/XM_006459160.1?report=genbank&amp;log$=nucltop&amp;blast_rank=14&amp;RID=1ZZZ9CUG013","XM_006459160.1")</f>
        <v>XM_006459160.1</v>
      </c>
    </row>
    <row r="120" spans="1:7" x14ac:dyDescent="0.35">
      <c r="A120" s="4" t="s">
        <v>119</v>
      </c>
      <c r="B120" s="4">
        <v>192</v>
      </c>
      <c r="C120" s="4">
        <v>192</v>
      </c>
      <c r="D120" s="5">
        <v>0.39</v>
      </c>
      <c r="E120" s="6">
        <v>9.9999999999999997E-49</v>
      </c>
      <c r="F120" s="4">
        <v>49.02</v>
      </c>
      <c r="G120" s="4" t="str">
        <f>HYPERLINK("https://www.ncbi.nlm.nih.gov/nucleotide/XM_027763465.1?report=genbank&amp;log$=nucltop&amp;blast_rank=15&amp;RID=1ZZZ9CUG013","XM_027763465.1")</f>
        <v>XM_027763465.1</v>
      </c>
    </row>
    <row r="121" spans="1:7" x14ac:dyDescent="0.35">
      <c r="A121" t="s">
        <v>110</v>
      </c>
      <c r="B121">
        <v>209</v>
      </c>
      <c r="C121">
        <v>209</v>
      </c>
      <c r="D121" s="2">
        <v>0.5</v>
      </c>
      <c r="E121" s="3">
        <v>1.9999999999999999E-60</v>
      </c>
      <c r="F121">
        <v>45.86</v>
      </c>
      <c r="G121" t="str">
        <f>HYPERLINK("https://www.ncbi.nlm.nih.gov/nucleotide/XM_003033916.1?report=genbank&amp;log$=nucltop&amp;blast_rank=16&amp;RID=1ZZZ9CUG013","XM_003033916.1")</f>
        <v>XM_003033916.1</v>
      </c>
    </row>
    <row r="122" spans="1:7" x14ac:dyDescent="0.35">
      <c r="A122" t="s">
        <v>121</v>
      </c>
      <c r="B122">
        <v>163</v>
      </c>
      <c r="C122">
        <v>163</v>
      </c>
      <c r="D122" s="2">
        <v>0.34</v>
      </c>
      <c r="E122" s="3">
        <v>6.0000000000000005E-44</v>
      </c>
      <c r="F122">
        <v>44.19</v>
      </c>
      <c r="G122" t="str">
        <f>HYPERLINK("https://www.ncbi.nlm.nih.gov/nucleotide/XM_007263292.1?report=genbank&amp;log$=nucltop&amp;blast_rank=17&amp;RID=1ZZZ9CUG013","XM_007263292.1")</f>
        <v>XM_007263292.1</v>
      </c>
    </row>
    <row r="123" spans="1:7" x14ac:dyDescent="0.35">
      <c r="A123" t="s">
        <v>18</v>
      </c>
      <c r="B123">
        <v>202</v>
      </c>
      <c r="C123">
        <v>202</v>
      </c>
      <c r="D123" s="2">
        <v>0.45</v>
      </c>
      <c r="E123" s="3">
        <v>5E-52</v>
      </c>
      <c r="F123">
        <v>43.68</v>
      </c>
      <c r="G123" t="str">
        <f>HYPERLINK("https://www.ncbi.nlm.nih.gov/nucleotide/CP015474.1?report=genbank&amp;log$=nucltop&amp;blast_rank=18&amp;RID=1ZZZ9CUG013","CP015474.1")</f>
        <v>CP015474.1</v>
      </c>
    </row>
    <row r="124" spans="1:7" x14ac:dyDescent="0.35">
      <c r="A124" t="s">
        <v>17</v>
      </c>
      <c r="B124">
        <v>202</v>
      </c>
      <c r="C124">
        <v>202</v>
      </c>
      <c r="D124" s="2">
        <v>0.45</v>
      </c>
      <c r="E124" s="3">
        <v>5E-52</v>
      </c>
      <c r="F124">
        <v>43.68</v>
      </c>
      <c r="G124" t="str">
        <f>HYPERLINK("https://www.ncbi.nlm.nih.gov/nucleotide/CP015461.1?report=genbank&amp;log$=nucltop&amp;blast_rank=19&amp;RID=1ZZZ9CUG013","CP015461.1")</f>
        <v>CP015461.1</v>
      </c>
    </row>
    <row r="125" spans="1:7" x14ac:dyDescent="0.35">
      <c r="A125" t="s">
        <v>16</v>
      </c>
      <c r="B125">
        <v>202</v>
      </c>
      <c r="C125">
        <v>202</v>
      </c>
      <c r="D125" s="2">
        <v>0.45</v>
      </c>
      <c r="E125" s="3">
        <v>5E-52</v>
      </c>
      <c r="F125">
        <v>43.68</v>
      </c>
      <c r="G125" t="str">
        <f>HYPERLINK("https://www.ncbi.nlm.nih.gov/nucleotide/CP039877.1?report=genbank&amp;log$=nucltop&amp;blast_rank=20&amp;RID=1ZZZ9CUG013","CP039877.1")</f>
        <v>CP039877.1</v>
      </c>
    </row>
    <row r="126" spans="1:7" x14ac:dyDescent="0.35">
      <c r="A126" t="s">
        <v>124</v>
      </c>
      <c r="B126">
        <v>126</v>
      </c>
      <c r="C126">
        <v>126</v>
      </c>
      <c r="D126" s="2">
        <v>0.25</v>
      </c>
      <c r="E126" s="3">
        <v>1E-26</v>
      </c>
      <c r="F126">
        <v>42.95</v>
      </c>
      <c r="G126" t="str">
        <f>HYPERLINK("https://www.ncbi.nlm.nih.gov/nucleotide/XM_013384521.1?report=genbank&amp;log$=nucltop&amp;blast_rank=21&amp;RID=1ZZZ9CUG013","XM_013384521.1")</f>
        <v>XM_013384521.1</v>
      </c>
    </row>
    <row r="127" spans="1:7" x14ac:dyDescent="0.35">
      <c r="A127" t="s">
        <v>122</v>
      </c>
      <c r="B127">
        <v>196</v>
      </c>
      <c r="C127">
        <v>196</v>
      </c>
      <c r="D127" s="2">
        <v>0.49</v>
      </c>
      <c r="E127" s="3">
        <v>2E-51</v>
      </c>
      <c r="F127">
        <v>42.7</v>
      </c>
      <c r="G127" t="str">
        <f>HYPERLINK("https://www.ncbi.nlm.nih.gov/nucleotide/XM_007362291.1?report=genbank&amp;log$=nucltop&amp;blast_rank=22&amp;RID=1ZZZ9CUG013","XM_007362291.1")</f>
        <v>XM_007362291.1</v>
      </c>
    </row>
    <row r="128" spans="1:7" x14ac:dyDescent="0.35">
      <c r="A128" t="s">
        <v>123</v>
      </c>
      <c r="B128">
        <v>127</v>
      </c>
      <c r="C128">
        <v>127</v>
      </c>
      <c r="D128" s="2">
        <v>0.24</v>
      </c>
      <c r="E128" s="3">
        <v>5.0000000000000002E-27</v>
      </c>
      <c r="F128">
        <v>41.78</v>
      </c>
      <c r="G128" t="str">
        <f>HYPERLINK("https://www.ncbi.nlm.nih.gov/nucleotide/XM_025744195.1?report=genbank&amp;log$=nucltop&amp;blast_rank=23&amp;RID=1ZZZ9CUG013","XM_025744195.1")</f>
        <v>XM_025744195.1</v>
      </c>
    </row>
    <row r="129" spans="1:7" x14ac:dyDescent="0.35">
      <c r="A129" t="s">
        <v>125</v>
      </c>
      <c r="B129">
        <v>101</v>
      </c>
      <c r="C129">
        <v>101</v>
      </c>
      <c r="D129" s="2">
        <v>0.24</v>
      </c>
      <c r="E129" s="3">
        <v>9.9999999999999991E-22</v>
      </c>
      <c r="F129">
        <v>41.6</v>
      </c>
      <c r="G129" t="str">
        <f>HYPERLINK("https://www.ncbi.nlm.nih.gov/nucleotide/XM_019169940.1?report=genbank&amp;log$=nucltop&amp;blast_rank=24&amp;RID=1ZZZ9CUG013","XM_019169940.1")</f>
        <v>XM_019169940.1</v>
      </c>
    </row>
    <row r="130" spans="1:7" x14ac:dyDescent="0.35">
      <c r="A130" t="s">
        <v>126</v>
      </c>
      <c r="B130">
        <v>134</v>
      </c>
      <c r="C130">
        <v>134</v>
      </c>
      <c r="D130" s="2">
        <v>0.28000000000000003</v>
      </c>
      <c r="E130" s="3">
        <v>3.0000000000000003E-29</v>
      </c>
      <c r="F130">
        <v>41.52</v>
      </c>
      <c r="G130" t="str">
        <f>HYPERLINK("https://www.ncbi.nlm.nih.gov/nucleotide/XM_007769767.1?report=genbank&amp;log$=nucltop&amp;blast_rank=25&amp;RID=1ZZZ9CUG013","XM_007769767.1")</f>
        <v>XM_007769767.1</v>
      </c>
    </row>
    <row r="131" spans="1:7" x14ac:dyDescent="0.35">
      <c r="A131" s="4" t="s">
        <v>127</v>
      </c>
      <c r="B131" s="4">
        <v>121</v>
      </c>
      <c r="C131" s="4">
        <v>121</v>
      </c>
      <c r="D131" s="5">
        <v>0.26</v>
      </c>
      <c r="E131" s="6">
        <v>4.0000000000000002E-25</v>
      </c>
      <c r="F131" s="4">
        <v>41.18</v>
      </c>
      <c r="G131" s="4" t="str">
        <f>HYPERLINK("https://www.ncbi.nlm.nih.gov/nucleotide/XM_037363786.1?report=genbank&amp;log$=nucltop&amp;blast_rank=26&amp;RID=1ZZZ9CUG013","XM_037363786.1")</f>
        <v>XM_037363786.1</v>
      </c>
    </row>
    <row r="132" spans="1:7" x14ac:dyDescent="0.35">
      <c r="A132" t="s">
        <v>120</v>
      </c>
      <c r="B132">
        <v>207</v>
      </c>
      <c r="C132">
        <v>207</v>
      </c>
      <c r="D132" s="2">
        <v>0.48</v>
      </c>
      <c r="E132" s="3">
        <v>2.0000000000000001E-56</v>
      </c>
      <c r="F132">
        <v>40.47</v>
      </c>
      <c r="G132" t="str">
        <f>HYPERLINK("https://www.ncbi.nlm.nih.gov/nucleotide/XM_012325304.1?report=genbank&amp;log$=nucltop&amp;blast_rank=27&amp;RID=1ZZZ9CUG013","XM_012325304.1")</f>
        <v>XM_012325304.1</v>
      </c>
    </row>
    <row r="133" spans="1:7" x14ac:dyDescent="0.35">
      <c r="A133" t="s">
        <v>130</v>
      </c>
      <c r="B133">
        <v>111</v>
      </c>
      <c r="C133">
        <v>111</v>
      </c>
      <c r="D133" s="2">
        <v>0.25</v>
      </c>
      <c r="E133" s="3">
        <v>9.0000000000000002E-25</v>
      </c>
      <c r="F133">
        <v>40</v>
      </c>
      <c r="G133" t="str">
        <f>HYPERLINK("https://www.ncbi.nlm.nih.gov/nucleotide/XM_018412799.1?report=genbank&amp;log$=nucltop&amp;blast_rank=28&amp;RID=1ZZZ9CUG013","XM_018412799.1")</f>
        <v>XM_018412799.1</v>
      </c>
    </row>
    <row r="134" spans="1:7" x14ac:dyDescent="0.35">
      <c r="A134" t="s">
        <v>128</v>
      </c>
      <c r="B134">
        <v>113</v>
      </c>
      <c r="C134">
        <v>113</v>
      </c>
      <c r="D134" s="2">
        <v>0.25</v>
      </c>
      <c r="E134" s="3">
        <v>1E-22</v>
      </c>
      <c r="F134">
        <v>39.86</v>
      </c>
      <c r="G134" t="str">
        <f>HYPERLINK("https://www.ncbi.nlm.nih.gov/nucleotide/XM_006958724.1?report=genbank&amp;log$=nucltop&amp;blast_rank=29&amp;RID=1ZZZ9CUG013","XM_006958724.1")</f>
        <v>XM_006958724.1</v>
      </c>
    </row>
    <row r="135" spans="1:7" x14ac:dyDescent="0.35">
      <c r="A135" t="s">
        <v>126</v>
      </c>
      <c r="B135">
        <v>172</v>
      </c>
      <c r="C135">
        <v>172</v>
      </c>
      <c r="D135" s="2">
        <v>0.48</v>
      </c>
      <c r="E135" s="3">
        <v>3.0000000000000003E-42</v>
      </c>
      <c r="F135">
        <v>39.86</v>
      </c>
      <c r="G135" t="str">
        <f>HYPERLINK("https://www.ncbi.nlm.nih.gov/nucleotide/XM_007767799.1?report=genbank&amp;log$=nucltop&amp;blast_rank=30&amp;RID=1ZZZ9CUG013","XM_007767799.1")</f>
        <v>XM_007767799.1</v>
      </c>
    </row>
    <row r="136" spans="1:7" x14ac:dyDescent="0.35">
      <c r="A136" t="s">
        <v>131</v>
      </c>
      <c r="B136">
        <v>113</v>
      </c>
      <c r="C136">
        <v>113</v>
      </c>
      <c r="D136" s="2">
        <v>0.27</v>
      </c>
      <c r="E136" s="3">
        <v>6.9999999999999999E-23</v>
      </c>
      <c r="F136">
        <v>39.29</v>
      </c>
      <c r="G136" t="str">
        <f>HYPERLINK("https://www.ncbi.nlm.nih.gov/nucleotide/XM_025316520.1?report=genbank&amp;log$=nucltop&amp;blast_rank=31&amp;RID=1ZZZ9CUG013","XM_025316520.1")</f>
        <v>XM_025316520.1</v>
      </c>
    </row>
    <row r="137" spans="1:7" x14ac:dyDescent="0.35">
      <c r="A137" t="s">
        <v>132</v>
      </c>
      <c r="B137">
        <v>113</v>
      </c>
      <c r="C137">
        <v>113</v>
      </c>
      <c r="D137" s="2">
        <v>0.25</v>
      </c>
      <c r="E137" s="3">
        <v>2.0000000000000001E-22</v>
      </c>
      <c r="F137">
        <v>38.93</v>
      </c>
      <c r="G137" t="str">
        <f>HYPERLINK("https://www.ncbi.nlm.nih.gov/nucleotide/XM_009267583.1?report=genbank&amp;log$=nucltop&amp;blast_rank=32&amp;RID=1ZZZ9CUG013","XM_009267583.1")</f>
        <v>XM_009267583.1</v>
      </c>
    </row>
    <row r="138" spans="1:7" x14ac:dyDescent="0.35">
      <c r="A138" t="s">
        <v>135</v>
      </c>
      <c r="B138">
        <v>102</v>
      </c>
      <c r="C138">
        <v>102</v>
      </c>
      <c r="D138" s="2">
        <v>0.26</v>
      </c>
      <c r="E138" s="3">
        <v>1.0000000000000001E-18</v>
      </c>
      <c r="F138">
        <v>38.69</v>
      </c>
      <c r="G138" t="str">
        <f>HYPERLINK("https://www.ncbi.nlm.nih.gov/nucleotide/XM_007731990.1?report=genbank&amp;log$=nucltop&amp;blast_rank=33&amp;RID=1ZZZ9CUG013","XM_007731990.1")</f>
        <v>XM_007731990.1</v>
      </c>
    </row>
    <row r="139" spans="1:7" x14ac:dyDescent="0.35">
      <c r="A139" t="s">
        <v>149</v>
      </c>
      <c r="B139">
        <v>97.4</v>
      </c>
      <c r="C139">
        <v>97.4</v>
      </c>
      <c r="D139" s="2">
        <v>0.26</v>
      </c>
      <c r="E139" s="3">
        <v>2.0000000000000001E-18</v>
      </c>
      <c r="F139">
        <v>38.69</v>
      </c>
      <c r="G139" t="str">
        <f>HYPERLINK("https://www.ncbi.nlm.nih.gov/nucleotide/XM_033675412.1?report=genbank&amp;log$=nucltop&amp;blast_rank=34&amp;RID=1ZZZ9CUG013","XM_033675412.1")</f>
        <v>XM_033675412.1</v>
      </c>
    </row>
    <row r="140" spans="1:7" x14ac:dyDescent="0.35">
      <c r="A140" t="s">
        <v>136</v>
      </c>
      <c r="B140">
        <v>118</v>
      </c>
      <c r="C140">
        <v>118</v>
      </c>
      <c r="D140" s="2">
        <v>0.25</v>
      </c>
      <c r="E140" s="3">
        <v>4.9999999999999998E-24</v>
      </c>
      <c r="F140">
        <v>38.36</v>
      </c>
      <c r="G140" t="str">
        <f>HYPERLINK("https://www.ncbi.nlm.nih.gov/nucleotide/XM_024479541.1?report=genbank&amp;log$=nucltop&amp;blast_rank=35&amp;RID=1ZZZ9CUG013","XM_024479541.1")</f>
        <v>XM_024479541.1</v>
      </c>
    </row>
    <row r="141" spans="1:7" x14ac:dyDescent="0.35">
      <c r="A141" t="s">
        <v>141</v>
      </c>
      <c r="B141">
        <v>105</v>
      </c>
      <c r="C141">
        <v>105</v>
      </c>
      <c r="D141" s="2">
        <v>0.32</v>
      </c>
      <c r="E141" s="3">
        <v>9.9999999999999998E-20</v>
      </c>
      <c r="F141">
        <v>38.24</v>
      </c>
      <c r="G141" t="str">
        <f>HYPERLINK("https://www.ncbi.nlm.nih.gov/nucleotide/XM_001224600.1?report=genbank&amp;log$=nucltop&amp;blast_rank=36&amp;RID=1ZZZ9CUG013","XM_001224600.1")</f>
        <v>XM_001224600.1</v>
      </c>
    </row>
    <row r="142" spans="1:7" x14ac:dyDescent="0.35">
      <c r="A142" t="s">
        <v>138</v>
      </c>
      <c r="B142">
        <v>102</v>
      </c>
      <c r="C142">
        <v>102</v>
      </c>
      <c r="D142" s="2">
        <v>0.26</v>
      </c>
      <c r="E142" s="3">
        <v>1.0000000000000001E-18</v>
      </c>
      <c r="F142">
        <v>37.96</v>
      </c>
      <c r="G142" t="str">
        <f>HYPERLINK("https://www.ncbi.nlm.nih.gov/nucleotide/XM_018833109.1?report=genbank&amp;log$=nucltop&amp;blast_rank=37&amp;RID=1ZZZ9CUG013","XM_018833109.1")</f>
        <v>XM_018833109.1</v>
      </c>
    </row>
    <row r="143" spans="1:7" x14ac:dyDescent="0.35">
      <c r="A143" t="s">
        <v>144</v>
      </c>
      <c r="B143">
        <v>100</v>
      </c>
      <c r="C143">
        <v>100</v>
      </c>
      <c r="D143" s="2">
        <v>0.26</v>
      </c>
      <c r="E143" s="3">
        <v>4.0000000000000003E-18</v>
      </c>
      <c r="F143">
        <v>37.96</v>
      </c>
      <c r="G143" t="str">
        <f>HYPERLINK("https://www.ncbi.nlm.nih.gov/nucleotide/XM_029895118.1?report=genbank&amp;log$=nucltop&amp;blast_rank=38&amp;RID=1ZZZ9CUG013","XM_029895118.1")</f>
        <v>XM_029895118.1</v>
      </c>
    </row>
    <row r="144" spans="1:7" x14ac:dyDescent="0.35">
      <c r="A144" t="s">
        <v>145</v>
      </c>
      <c r="B144">
        <v>100</v>
      </c>
      <c r="C144">
        <v>100</v>
      </c>
      <c r="D144" s="2">
        <v>0.26</v>
      </c>
      <c r="E144" s="3">
        <v>4.0000000000000003E-18</v>
      </c>
      <c r="F144">
        <v>37.96</v>
      </c>
      <c r="G144" t="str">
        <f>HYPERLINK("https://www.ncbi.nlm.nih.gov/nucleotide/XM_003717725.1?report=genbank&amp;log$=nucltop&amp;blast_rank=39&amp;RID=1ZZZ9CUG013","XM_003717725.1")</f>
        <v>XM_003717725.1</v>
      </c>
    </row>
    <row r="145" spans="1:7" x14ac:dyDescent="0.35">
      <c r="A145" t="s">
        <v>153</v>
      </c>
      <c r="B145">
        <v>121</v>
      </c>
      <c r="C145">
        <v>121</v>
      </c>
      <c r="D145" s="2">
        <v>0.25</v>
      </c>
      <c r="E145" s="3">
        <v>9.9999999999999992E-25</v>
      </c>
      <c r="F145">
        <v>37.909999999999997</v>
      </c>
      <c r="G145" t="str">
        <f>HYPERLINK("https://www.ncbi.nlm.nih.gov/nucleotide/LT795076.1?report=genbank&amp;log$=nucltop&amp;blast_rank=40&amp;RID=1ZZZ9CUG013","LT795076.1")</f>
        <v>LT795076.1</v>
      </c>
    </row>
    <row r="146" spans="1:7" x14ac:dyDescent="0.35">
      <c r="A146" t="s">
        <v>154</v>
      </c>
      <c r="B146">
        <v>120</v>
      </c>
      <c r="C146">
        <v>120</v>
      </c>
      <c r="D146" s="2">
        <v>0.25</v>
      </c>
      <c r="E146" s="3">
        <v>1.9999999999999998E-24</v>
      </c>
      <c r="F146">
        <v>37.909999999999997</v>
      </c>
      <c r="G146" t="str">
        <f>HYPERLINK("https://www.ncbi.nlm.nih.gov/nucleotide/FQ311445.1?report=genbank&amp;log$=nucltop&amp;blast_rank=41&amp;RID=1ZZZ9CUG013","FQ311445.1")</f>
        <v>FQ311445.1</v>
      </c>
    </row>
    <row r="147" spans="1:7" x14ac:dyDescent="0.35">
      <c r="A147" t="s">
        <v>158</v>
      </c>
      <c r="B147">
        <v>117</v>
      </c>
      <c r="C147">
        <v>117</v>
      </c>
      <c r="D147" s="2">
        <v>0.26</v>
      </c>
      <c r="E147" s="3">
        <v>7.9999999999999994E-24</v>
      </c>
      <c r="F147">
        <v>37.74</v>
      </c>
      <c r="G147" t="str">
        <f>HYPERLINK("https://www.ncbi.nlm.nih.gov/nucleotide/XM_007329370.1?report=genbank&amp;log$=nucltop&amp;blast_rank=42&amp;RID=1ZZZ9CUG013","XM_007329370.1")</f>
        <v>XM_007329370.1</v>
      </c>
    </row>
    <row r="148" spans="1:7" x14ac:dyDescent="0.35">
      <c r="A148" t="s">
        <v>157</v>
      </c>
      <c r="B148">
        <v>117</v>
      </c>
      <c r="C148">
        <v>117</v>
      </c>
      <c r="D148" s="2">
        <v>0.26</v>
      </c>
      <c r="E148" s="3">
        <v>7.9999999999999994E-24</v>
      </c>
      <c r="F148">
        <v>37.74</v>
      </c>
      <c r="G148" t="str">
        <f>HYPERLINK("https://www.ncbi.nlm.nih.gov/nucleotide/XM_006460100.1?report=genbank&amp;log$=nucltop&amp;blast_rank=43&amp;RID=1ZZZ9CUG013","XM_006460100.1")</f>
        <v>XM_006460100.1</v>
      </c>
    </row>
    <row r="149" spans="1:7" x14ac:dyDescent="0.35">
      <c r="A149" t="s">
        <v>137</v>
      </c>
      <c r="B149">
        <v>241</v>
      </c>
      <c r="C149">
        <v>241</v>
      </c>
      <c r="D149" s="2">
        <v>0.87</v>
      </c>
      <c r="E149" s="3">
        <v>5.0000000000000003E-69</v>
      </c>
      <c r="F149">
        <v>37.68</v>
      </c>
      <c r="G149" t="str">
        <f>HYPERLINK("https://www.ncbi.nlm.nih.gov/nucleotide/XM_001836370.2?report=genbank&amp;log$=nucltop&amp;blast_rank=44&amp;RID=1ZZZ9CUG013","XM_001836370.2")</f>
        <v>XM_001836370.2</v>
      </c>
    </row>
    <row r="150" spans="1:7" x14ac:dyDescent="0.35">
      <c r="A150" t="s">
        <v>140</v>
      </c>
      <c r="B150">
        <v>115</v>
      </c>
      <c r="C150">
        <v>115</v>
      </c>
      <c r="D150" s="2">
        <v>0.26</v>
      </c>
      <c r="E150" s="3">
        <v>1.9999999999999998E-24</v>
      </c>
      <c r="F150">
        <v>37.659999999999997</v>
      </c>
      <c r="G150" t="str">
        <f>HYPERLINK("https://www.ncbi.nlm.nih.gov/nucleotide/XM_007407307.1?report=genbank&amp;log$=nucltop&amp;blast_rank=45&amp;RID=1ZZZ9CUG013","XM_007407307.1")</f>
        <v>XM_007407307.1</v>
      </c>
    </row>
    <row r="151" spans="1:7" x14ac:dyDescent="0.35">
      <c r="A151" t="s">
        <v>808</v>
      </c>
      <c r="B151">
        <v>118</v>
      </c>
      <c r="C151">
        <v>118</v>
      </c>
      <c r="D151" s="2">
        <v>0.25</v>
      </c>
      <c r="E151" s="3">
        <v>3.9999999999999997E-24</v>
      </c>
      <c r="F151">
        <v>37.659999999999997</v>
      </c>
      <c r="G151" t="str">
        <f>HYPERLINK("https://www.ncbi.nlm.nih.gov/nucleotide/XM_039067136.1?report=genbank&amp;log$=nucltop&amp;blast_rank=46&amp;RID=1ZZZ9CUG013","XM_039067136.1")</f>
        <v>XM_039067136.1</v>
      </c>
    </row>
    <row r="152" spans="1:7" x14ac:dyDescent="0.35">
      <c r="A152" t="s">
        <v>129</v>
      </c>
      <c r="B152">
        <v>107</v>
      </c>
      <c r="C152">
        <v>107</v>
      </c>
      <c r="D152" s="2">
        <v>0.31</v>
      </c>
      <c r="E152" s="3">
        <v>1.9999999999999999E-20</v>
      </c>
      <c r="F152">
        <v>37.65</v>
      </c>
      <c r="G152" t="str">
        <f>HYPERLINK("https://www.ncbi.nlm.nih.gov/nucleotide/XM_001912109.1?report=genbank&amp;log$=nucltop&amp;blast_rank=47&amp;RID=1ZZZ9CUG013","XM_001912109.1")</f>
        <v>XM_001912109.1</v>
      </c>
    </row>
    <row r="153" spans="1:7" x14ac:dyDescent="0.35">
      <c r="A153" t="s">
        <v>113</v>
      </c>
      <c r="B153">
        <v>122</v>
      </c>
      <c r="C153">
        <v>122</v>
      </c>
      <c r="D153" s="2">
        <v>0.26</v>
      </c>
      <c r="E153" s="3">
        <v>4.0000000000000002E-25</v>
      </c>
      <c r="F153">
        <v>37.5</v>
      </c>
      <c r="G153" t="str">
        <f>HYPERLINK("https://www.ncbi.nlm.nih.gov/nucleotide/XM_008037398.1?report=genbank&amp;log$=nucltop&amp;blast_rank=48&amp;RID=1ZZZ9CUG013","XM_008037398.1")</f>
        <v>XM_008037398.1</v>
      </c>
    </row>
    <row r="154" spans="1:7" x14ac:dyDescent="0.35">
      <c r="A154" t="s">
        <v>143</v>
      </c>
      <c r="B154">
        <v>100</v>
      </c>
      <c r="C154">
        <v>100</v>
      </c>
      <c r="D154" s="2">
        <v>0.27</v>
      </c>
      <c r="E154" s="3">
        <v>2.9999999999999998E-18</v>
      </c>
      <c r="F154">
        <v>37.409999999999997</v>
      </c>
      <c r="G154" t="str">
        <f>HYPERLINK("https://www.ncbi.nlm.nih.gov/nucleotide/XM_031128085.1?report=genbank&amp;log$=nucltop&amp;blast_rank=49&amp;RID=1ZZZ9CUG013","XM_031128085.1")</f>
        <v>XM_031128085.1</v>
      </c>
    </row>
    <row r="155" spans="1:7" x14ac:dyDescent="0.35">
      <c r="A155" t="s">
        <v>146</v>
      </c>
      <c r="B155">
        <v>102</v>
      </c>
      <c r="C155">
        <v>102</v>
      </c>
      <c r="D155" s="2">
        <v>0.26</v>
      </c>
      <c r="E155" s="3">
        <v>5.9999999999999999E-19</v>
      </c>
      <c r="F155">
        <v>37.229999999999997</v>
      </c>
      <c r="G155" t="str">
        <f>HYPERLINK("https://www.ncbi.nlm.nih.gov/nucleotide/XM_016394547.1?report=genbank&amp;log$=nucltop&amp;blast_rank=50&amp;RID=1ZZZ9CUG013","XM_016394547.1")</f>
        <v>XM_016394547.1</v>
      </c>
    </row>
    <row r="156" spans="1:7" x14ac:dyDescent="0.35">
      <c r="A156" t="s">
        <v>166</v>
      </c>
      <c r="B156">
        <v>119</v>
      </c>
      <c r="C156">
        <v>119</v>
      </c>
      <c r="D156" s="2">
        <v>0.25</v>
      </c>
      <c r="E156" s="3">
        <v>6.9999999999999993E-24</v>
      </c>
      <c r="F156">
        <v>37.18</v>
      </c>
      <c r="G156" t="str">
        <f>HYPERLINK("https://www.ncbi.nlm.nih.gov/nucleotide/CP060305.1?report=genbank&amp;log$=nucltop&amp;blast_rank=51&amp;RID=1ZZZ9CUG013","CP060305.1")</f>
        <v>CP060305.1</v>
      </c>
    </row>
    <row r="157" spans="1:7" x14ac:dyDescent="0.35">
      <c r="A157" t="s">
        <v>183</v>
      </c>
      <c r="B157">
        <v>110</v>
      </c>
      <c r="C157">
        <v>110</v>
      </c>
      <c r="D157" s="2">
        <v>0.25</v>
      </c>
      <c r="E157" s="3">
        <v>6.9999999999999993E-24</v>
      </c>
      <c r="F157">
        <v>36.770000000000003</v>
      </c>
      <c r="G157" t="str">
        <f>HYPERLINK("https://www.ncbi.nlm.nih.gov/nucleotide/XM_016436705.1?report=genbank&amp;log$=nucltop&amp;blast_rank=52&amp;RID=1ZZZ9CUG013","XM_016436705.1")</f>
        <v>XM_016436705.1</v>
      </c>
    </row>
    <row r="158" spans="1:7" x14ac:dyDescent="0.35">
      <c r="A158" s="4" t="s">
        <v>163</v>
      </c>
      <c r="B158" s="4">
        <v>114</v>
      </c>
      <c r="C158" s="4">
        <v>114</v>
      </c>
      <c r="D158" s="5">
        <v>0.36</v>
      </c>
      <c r="E158" s="6">
        <v>7.9999999999999997E-23</v>
      </c>
      <c r="F158" s="4">
        <v>36.56</v>
      </c>
      <c r="G158" s="4" t="str">
        <f>HYPERLINK("https://www.ncbi.nlm.nih.gov/nucleotide/XM_016416769.1?report=genbank&amp;log$=nucltop&amp;blast_rank=53&amp;RID=1ZZZ9CUG013","XM_016416769.1")</f>
        <v>XM_016416769.1</v>
      </c>
    </row>
    <row r="159" spans="1:7" x14ac:dyDescent="0.35">
      <c r="A159" t="s">
        <v>162</v>
      </c>
      <c r="B159">
        <v>102</v>
      </c>
      <c r="C159">
        <v>102</v>
      </c>
      <c r="D159" s="2">
        <v>0.27</v>
      </c>
      <c r="E159" s="3">
        <v>1.0000000000000001E-18</v>
      </c>
      <c r="F159">
        <v>36.36</v>
      </c>
      <c r="G159" t="str">
        <f>HYPERLINK("https://www.ncbi.nlm.nih.gov/nucleotide/XM_033735511.1?report=genbank&amp;log$=nucltop&amp;blast_rank=54&amp;RID=1ZZZ9CUG013","XM_033735511.1")</f>
        <v>XM_033735511.1</v>
      </c>
    </row>
    <row r="160" spans="1:7" x14ac:dyDescent="0.35">
      <c r="A160" t="s">
        <v>179</v>
      </c>
      <c r="B160">
        <v>101</v>
      </c>
      <c r="C160">
        <v>101</v>
      </c>
      <c r="D160" s="2">
        <v>0.32</v>
      </c>
      <c r="E160" s="3">
        <v>4.0000000000000003E-18</v>
      </c>
      <c r="F160">
        <v>36.36</v>
      </c>
      <c r="G160" t="str">
        <f>HYPERLINK("https://www.ncbi.nlm.nih.gov/nucleotide/CP051142.1?report=genbank&amp;log$=nucltop&amp;blast_rank=55&amp;RID=1ZZZ9CUG013","CP051142.1")</f>
        <v>CP051142.1</v>
      </c>
    </row>
    <row r="161" spans="1:7" x14ac:dyDescent="0.35">
      <c r="A161" t="s">
        <v>175</v>
      </c>
      <c r="B161">
        <v>102</v>
      </c>
      <c r="C161">
        <v>102</v>
      </c>
      <c r="D161" s="2">
        <v>0.26</v>
      </c>
      <c r="E161" s="3">
        <v>1.0000000000000001E-18</v>
      </c>
      <c r="F161">
        <v>36.229999999999997</v>
      </c>
      <c r="G161" t="str">
        <f>HYPERLINK("https://www.ncbi.nlm.nih.gov/nucleotide/XM_022651297.1?report=genbank&amp;log$=nucltop&amp;blast_rank=56&amp;RID=1ZZZ9CUG013","XM_022651297.1")</f>
        <v>XM_022651297.1</v>
      </c>
    </row>
    <row r="162" spans="1:7" x14ac:dyDescent="0.35">
      <c r="A162" t="s">
        <v>155</v>
      </c>
      <c r="B162">
        <v>102</v>
      </c>
      <c r="C162">
        <v>102</v>
      </c>
      <c r="D162" s="2">
        <v>0.26</v>
      </c>
      <c r="E162" s="3">
        <v>1.0000000000000001E-18</v>
      </c>
      <c r="F162">
        <v>36.229999999999997</v>
      </c>
      <c r="G162" t="str">
        <f>HYPERLINK("https://www.ncbi.nlm.nih.gov/nucleotide/XM_022639301.1?report=genbank&amp;log$=nucltop&amp;blast_rank=57&amp;RID=1ZZZ9CUG013","XM_022639301.1")</f>
        <v>XM_022639301.1</v>
      </c>
    </row>
    <row r="163" spans="1:7" x14ac:dyDescent="0.35">
      <c r="A163" t="s">
        <v>156</v>
      </c>
      <c r="B163">
        <v>101</v>
      </c>
      <c r="C163">
        <v>101</v>
      </c>
      <c r="D163" s="2">
        <v>0.26</v>
      </c>
      <c r="E163" s="3">
        <v>1.0000000000000001E-18</v>
      </c>
      <c r="F163">
        <v>36.229999999999997</v>
      </c>
      <c r="G163" t="str">
        <f>HYPERLINK("https://www.ncbi.nlm.nih.gov/nucleotide/XM_013424715.1?report=genbank&amp;log$=nucltop&amp;blast_rank=58&amp;RID=1ZZZ9CUG013","XM_013424715.1")</f>
        <v>XM_013424715.1</v>
      </c>
    </row>
    <row r="164" spans="1:7" x14ac:dyDescent="0.35">
      <c r="A164" t="s">
        <v>133</v>
      </c>
      <c r="B164">
        <v>99.8</v>
      </c>
      <c r="C164">
        <v>99.8</v>
      </c>
      <c r="D164" s="2">
        <v>0.35</v>
      </c>
      <c r="E164" s="3">
        <v>5.9999999999999997E-18</v>
      </c>
      <c r="F164">
        <v>36.17</v>
      </c>
      <c r="G164" t="str">
        <f>HYPERLINK("https://www.ncbi.nlm.nih.gov/nucleotide/XM_003349166.1?report=genbank&amp;log$=nucltop&amp;blast_rank=59&amp;RID=1ZZZ9CUG013","XM_003349166.1")</f>
        <v>XM_003349166.1</v>
      </c>
    </row>
    <row r="165" spans="1:7" x14ac:dyDescent="0.35">
      <c r="A165" t="s">
        <v>151</v>
      </c>
      <c r="B165">
        <v>105</v>
      </c>
      <c r="C165">
        <v>105</v>
      </c>
      <c r="D165" s="2">
        <v>0.32</v>
      </c>
      <c r="E165" s="3">
        <v>9.9999999999999998E-20</v>
      </c>
      <c r="F165">
        <v>36.14</v>
      </c>
      <c r="G165" t="str">
        <f>HYPERLINK("https://www.ncbi.nlm.nih.gov/nucleotide/XM_031136412.1?report=genbank&amp;log$=nucltop&amp;blast_rank=60&amp;RID=1ZZZ9CUG013","XM_031136412.1")</f>
        <v>XM_031136412.1</v>
      </c>
    </row>
    <row r="166" spans="1:7" x14ac:dyDescent="0.35">
      <c r="A166" t="s">
        <v>159</v>
      </c>
      <c r="B166">
        <v>119</v>
      </c>
      <c r="C166">
        <v>119</v>
      </c>
      <c r="D166" s="2">
        <v>0.27</v>
      </c>
      <c r="E166" s="3">
        <v>3E-24</v>
      </c>
      <c r="F166">
        <v>36.090000000000003</v>
      </c>
      <c r="G166" t="str">
        <f>HYPERLINK("https://www.ncbi.nlm.nih.gov/nucleotide/XM_007364265.1?report=genbank&amp;log$=nucltop&amp;blast_rank=61&amp;RID=1ZZZ9CUG013","XM_007364265.1")</f>
        <v>XM_007364265.1</v>
      </c>
    </row>
    <row r="167" spans="1:7" x14ac:dyDescent="0.35">
      <c r="A167" t="s">
        <v>134</v>
      </c>
      <c r="B167">
        <v>102</v>
      </c>
      <c r="C167">
        <v>102</v>
      </c>
      <c r="D167" s="2">
        <v>0.32</v>
      </c>
      <c r="E167" s="3">
        <v>7.9999999999999998E-19</v>
      </c>
      <c r="F167">
        <v>36.090000000000003</v>
      </c>
      <c r="G167" t="str">
        <f>HYPERLINK("https://www.ncbi.nlm.nih.gov/nucleotide/XM_035462003.1?report=genbank&amp;log$=nucltop&amp;blast_rank=62&amp;RID=1ZZZ9CUG013","XM_035462003.1")</f>
        <v>XM_035462003.1</v>
      </c>
    </row>
    <row r="168" spans="1:7" x14ac:dyDescent="0.35">
      <c r="A168" t="s">
        <v>120</v>
      </c>
      <c r="B168">
        <v>118</v>
      </c>
      <c r="C168">
        <v>118</v>
      </c>
      <c r="D168" s="2">
        <v>0.26</v>
      </c>
      <c r="E168" s="3">
        <v>6.9999999999999993E-24</v>
      </c>
      <c r="F168">
        <v>36.020000000000003</v>
      </c>
      <c r="G168" t="str">
        <f>HYPERLINK("https://www.ncbi.nlm.nih.gov/nucleotide/XM_012325595.1?report=genbank&amp;log$=nucltop&amp;blast_rank=63&amp;RID=1ZZZ9CUG013","XM_012325595.1")</f>
        <v>XM_012325595.1</v>
      </c>
    </row>
    <row r="169" spans="1:7" x14ac:dyDescent="0.35">
      <c r="A169" t="s">
        <v>142</v>
      </c>
      <c r="B169">
        <v>103</v>
      </c>
      <c r="C169">
        <v>103</v>
      </c>
      <c r="D169" s="2">
        <v>0.32</v>
      </c>
      <c r="E169" s="3">
        <v>2.9999999999999999E-19</v>
      </c>
      <c r="F169">
        <v>36</v>
      </c>
      <c r="G169" t="str">
        <f>HYPERLINK("https://www.ncbi.nlm.nih.gov/nucleotide/XM_013412294.1?report=genbank&amp;log$=nucltop&amp;blast_rank=64&amp;RID=1ZZZ9CUG013","XM_013412294.1")</f>
        <v>XM_013412294.1</v>
      </c>
    </row>
    <row r="170" spans="1:7" x14ac:dyDescent="0.35">
      <c r="A170" t="s">
        <v>168</v>
      </c>
      <c r="B170">
        <v>103</v>
      </c>
      <c r="C170">
        <v>103</v>
      </c>
      <c r="D170" s="2">
        <v>0.32</v>
      </c>
      <c r="E170" s="3">
        <v>5.0000000000000004E-19</v>
      </c>
      <c r="F170">
        <v>36</v>
      </c>
      <c r="G170" t="str">
        <f>HYPERLINK("https://www.ncbi.nlm.nih.gov/nucleotide/XM_033727516.1?report=genbank&amp;log$=nucltop&amp;blast_rank=65&amp;RID=1ZZZ9CUG013","XM_033727516.1")</f>
        <v>XM_033727516.1</v>
      </c>
    </row>
    <row r="171" spans="1:7" x14ac:dyDescent="0.35">
      <c r="A171" t="s">
        <v>165</v>
      </c>
      <c r="B171">
        <v>115</v>
      </c>
      <c r="C171">
        <v>115</v>
      </c>
      <c r="D171" s="2">
        <v>0.25</v>
      </c>
      <c r="E171" s="3">
        <v>3.9999999999999998E-23</v>
      </c>
      <c r="F171">
        <v>35.9</v>
      </c>
      <c r="G171" t="str">
        <f>HYPERLINK("https://www.ncbi.nlm.nih.gov/nucleotide/XM_014798439.1?report=genbank&amp;log$=nucltop&amp;blast_rank=66&amp;RID=1ZZZ9CUG013","XM_014798439.1")</f>
        <v>XM_014798439.1</v>
      </c>
    </row>
    <row r="172" spans="1:7" x14ac:dyDescent="0.35">
      <c r="A172" t="s">
        <v>167</v>
      </c>
      <c r="B172">
        <v>103</v>
      </c>
      <c r="C172">
        <v>103</v>
      </c>
      <c r="D172" s="2">
        <v>0.32</v>
      </c>
      <c r="E172" s="3">
        <v>2.9999999999999999E-19</v>
      </c>
      <c r="F172">
        <v>35.880000000000003</v>
      </c>
      <c r="G172" t="str">
        <f>HYPERLINK("https://www.ncbi.nlm.nih.gov/nucleotide/XM_007682126.1?report=genbank&amp;log$=nucltop&amp;blast_rank=67&amp;RID=1ZZZ9CUG013","XM_007682126.1")</f>
        <v>XM_007682126.1</v>
      </c>
    </row>
    <row r="173" spans="1:7" x14ac:dyDescent="0.35">
      <c r="A173" t="s">
        <v>150</v>
      </c>
      <c r="B173">
        <v>103</v>
      </c>
      <c r="C173">
        <v>103</v>
      </c>
      <c r="D173" s="2">
        <v>0.32</v>
      </c>
      <c r="E173" s="3">
        <v>3.9999999999999999E-19</v>
      </c>
      <c r="F173">
        <v>35.880000000000003</v>
      </c>
      <c r="G173" t="str">
        <f>HYPERLINK("https://www.ncbi.nlm.nih.gov/nucleotide/XM_033687745.1?report=genbank&amp;log$=nucltop&amp;blast_rank=68&amp;RID=1ZZZ9CUG013","XM_033687745.1")</f>
        <v>XM_033687745.1</v>
      </c>
    </row>
    <row r="174" spans="1:7" x14ac:dyDescent="0.35">
      <c r="A174" t="s">
        <v>810</v>
      </c>
      <c r="B174">
        <v>121</v>
      </c>
      <c r="C174">
        <v>121</v>
      </c>
      <c r="D174" s="2">
        <v>0.25</v>
      </c>
      <c r="E174" s="3">
        <v>4.0000000000000002E-25</v>
      </c>
      <c r="F174">
        <v>35.85</v>
      </c>
      <c r="G174" t="str">
        <f>HYPERLINK("https://www.ncbi.nlm.nih.gov/nucleotide/XM_003036760.2?report=genbank&amp;log$=nucltop&amp;blast_rank=69&amp;RID=1ZZZ9CUG013","XM_003036760.2")</f>
        <v>XM_003036760.2</v>
      </c>
    </row>
    <row r="175" spans="1:7" x14ac:dyDescent="0.35">
      <c r="A175" t="s">
        <v>811</v>
      </c>
      <c r="B175">
        <v>117</v>
      </c>
      <c r="C175">
        <v>117</v>
      </c>
      <c r="D175" s="2">
        <v>0.25</v>
      </c>
      <c r="E175" s="3">
        <v>7.9999999999999994E-24</v>
      </c>
      <c r="F175">
        <v>35.85</v>
      </c>
      <c r="G175" t="str">
        <f>HYPERLINK("https://www.ncbi.nlm.nih.gov/nucleotide/XM_011394382.1?report=genbank&amp;log$=nucltop&amp;blast_rank=70&amp;RID=1ZZZ9CUG013","XM_011394382.1")</f>
        <v>XM_011394382.1</v>
      </c>
    </row>
    <row r="176" spans="1:7" x14ac:dyDescent="0.35">
      <c r="A176" t="s">
        <v>109</v>
      </c>
      <c r="B176">
        <v>115</v>
      </c>
      <c r="C176">
        <v>115</v>
      </c>
      <c r="D176" s="2">
        <v>0.25</v>
      </c>
      <c r="E176" s="3">
        <v>3E-23</v>
      </c>
      <c r="F176">
        <v>35.71</v>
      </c>
      <c r="G176" t="str">
        <f>HYPERLINK("https://www.ncbi.nlm.nih.gov/nucleotide/XM_007864340.1?report=genbank&amp;log$=nucltop&amp;blast_rank=71&amp;RID=1ZZZ9CUG013","XM_007864340.1")</f>
        <v>XM_007864340.1</v>
      </c>
    </row>
    <row r="177" spans="1:7" x14ac:dyDescent="0.35">
      <c r="A177" t="s">
        <v>180</v>
      </c>
      <c r="B177">
        <v>106</v>
      </c>
      <c r="C177">
        <v>106</v>
      </c>
      <c r="D177" s="2">
        <v>0.32</v>
      </c>
      <c r="E177" s="3">
        <v>3.9999999999999998E-20</v>
      </c>
      <c r="F177">
        <v>35.71</v>
      </c>
      <c r="G177" t="str">
        <f>HYPERLINK("https://www.ncbi.nlm.nih.gov/nucleotide/XM_016359670.1?report=genbank&amp;log$=nucltop&amp;blast_rank=72&amp;RID=1ZZZ9CUG013","XM_016359670.1")</f>
        <v>XM_016359670.1</v>
      </c>
    </row>
    <row r="178" spans="1:7" x14ac:dyDescent="0.35">
      <c r="A178" t="s">
        <v>170</v>
      </c>
      <c r="B178">
        <v>118</v>
      </c>
      <c r="C178">
        <v>118</v>
      </c>
      <c r="D178" s="2">
        <v>0.25</v>
      </c>
      <c r="E178" s="3">
        <v>3.9999999999999997E-24</v>
      </c>
      <c r="F178">
        <v>35.619999999999997</v>
      </c>
      <c r="G178" t="str">
        <f>HYPERLINK("https://www.ncbi.nlm.nih.gov/nucleotide/XM_012333207.1?report=genbank&amp;log$=nucltop&amp;blast_rank=73&amp;RID=1ZZZ9CUG013","XM_012333207.1")</f>
        <v>XM_012333207.1</v>
      </c>
    </row>
    <row r="179" spans="1:7" x14ac:dyDescent="0.35">
      <c r="A179" t="s">
        <v>171</v>
      </c>
      <c r="B179">
        <v>112</v>
      </c>
      <c r="C179">
        <v>112</v>
      </c>
      <c r="D179" s="2">
        <v>0.24</v>
      </c>
      <c r="E179" s="3">
        <v>2.0000000000000001E-22</v>
      </c>
      <c r="F179">
        <v>35.53</v>
      </c>
      <c r="G179" t="str">
        <f>HYPERLINK("https://www.ncbi.nlm.nih.gov/nucleotide/XM_036774740.1?report=genbank&amp;log$=nucltop&amp;blast_rank=74&amp;RID=1ZZZ9CUG013","XM_036774740.1")</f>
        <v>XM_036774740.1</v>
      </c>
    </row>
    <row r="180" spans="1:7" x14ac:dyDescent="0.35">
      <c r="A180" t="s">
        <v>172</v>
      </c>
      <c r="B180">
        <v>115</v>
      </c>
      <c r="C180">
        <v>115</v>
      </c>
      <c r="D180" s="2">
        <v>0.25</v>
      </c>
      <c r="E180" s="3">
        <v>6.0000000000000001E-23</v>
      </c>
      <c r="F180">
        <v>35.44</v>
      </c>
      <c r="G180" t="str">
        <f>HYPERLINK("https://www.ncbi.nlm.nih.gov/nucleotide/LK056654.1?report=genbank&amp;log$=nucltop&amp;blast_rank=75&amp;RID=1ZZZ9CUG013","LK056654.1")</f>
        <v>LK056654.1</v>
      </c>
    </row>
    <row r="181" spans="1:7" x14ac:dyDescent="0.35">
      <c r="A181" t="s">
        <v>173</v>
      </c>
      <c r="B181">
        <v>115</v>
      </c>
      <c r="C181">
        <v>115</v>
      </c>
      <c r="D181" s="2">
        <v>0.25</v>
      </c>
      <c r="E181" s="3">
        <v>6.0000000000000001E-23</v>
      </c>
      <c r="F181">
        <v>35.44</v>
      </c>
      <c r="G181" t="str">
        <f>HYPERLINK("https://www.ncbi.nlm.nih.gov/nucleotide/CP010920.1?report=genbank&amp;log$=nucltop&amp;blast_rank=76&amp;RID=1ZZZ9CUG013","CP010920.1")</f>
        <v>CP010920.1</v>
      </c>
    </row>
    <row r="182" spans="1:7" x14ac:dyDescent="0.35">
      <c r="A182" t="s">
        <v>742</v>
      </c>
      <c r="B182">
        <v>222</v>
      </c>
      <c r="C182">
        <v>222</v>
      </c>
      <c r="D182" s="2">
        <v>0.99</v>
      </c>
      <c r="E182" s="3">
        <v>6.0000000000000002E-62</v>
      </c>
      <c r="F182">
        <v>35.43</v>
      </c>
      <c r="G182" t="str">
        <f>HYPERLINK("https://www.ncbi.nlm.nih.gov/nucleotide/XM_036779061.1?report=genbank&amp;log$=nucltop&amp;blast_rank=77&amp;RID=1ZZZ9CUG013","XM_036779061.1")</f>
        <v>XM_036779061.1</v>
      </c>
    </row>
    <row r="183" spans="1:7" x14ac:dyDescent="0.35">
      <c r="A183" t="s">
        <v>178</v>
      </c>
      <c r="B183">
        <v>115</v>
      </c>
      <c r="C183">
        <v>115</v>
      </c>
      <c r="D183" s="2">
        <v>0.24</v>
      </c>
      <c r="E183" s="3">
        <v>6.9999999999999999E-23</v>
      </c>
      <c r="F183">
        <v>35.29</v>
      </c>
      <c r="G183" t="str">
        <f>HYPERLINK("https://www.ncbi.nlm.nih.gov/nucleotide/XM_025502720.1?report=genbank&amp;log$=nucltop&amp;blast_rank=78&amp;RID=1ZZZ9CUG013","XM_025502720.1")</f>
        <v>XM_025502720.1</v>
      </c>
    </row>
    <row r="184" spans="1:7" x14ac:dyDescent="0.35">
      <c r="A184" t="s">
        <v>196</v>
      </c>
      <c r="B184">
        <v>102</v>
      </c>
      <c r="C184">
        <v>102</v>
      </c>
      <c r="D184" s="2">
        <v>0.32</v>
      </c>
      <c r="E184" s="3">
        <v>5.9999999999999999E-19</v>
      </c>
      <c r="F184">
        <v>35.29</v>
      </c>
      <c r="G184" t="str">
        <f>HYPERLINK("https://www.ncbi.nlm.nih.gov/nucleotide/XM_003844854.1?report=genbank&amp;log$=nucltop&amp;blast_rank=79&amp;RID=1ZZZ9CUG013","XM_003844854.1")</f>
        <v>XM_003844854.1</v>
      </c>
    </row>
    <row r="185" spans="1:7" x14ac:dyDescent="0.35">
      <c r="A185" t="s">
        <v>21</v>
      </c>
      <c r="B185">
        <v>120</v>
      </c>
      <c r="C185">
        <v>120</v>
      </c>
      <c r="D185" s="2">
        <v>0.34</v>
      </c>
      <c r="E185" s="3">
        <v>1E-25</v>
      </c>
      <c r="F185">
        <v>35.119999999999997</v>
      </c>
      <c r="G185" t="str">
        <f>HYPERLINK("https://www.ncbi.nlm.nih.gov/nucleotide/XM_009545687.1?report=genbank&amp;log$=nucltop&amp;blast_rank=80&amp;RID=1ZZZ9CUG013","XM_009545687.1")</f>
        <v>XM_009545687.1</v>
      </c>
    </row>
    <row r="186" spans="1:7" x14ac:dyDescent="0.35">
      <c r="A186" t="s">
        <v>182</v>
      </c>
      <c r="B186">
        <v>117</v>
      </c>
      <c r="C186">
        <v>117</v>
      </c>
      <c r="D186" s="2">
        <v>0.25</v>
      </c>
      <c r="E186" s="3">
        <v>7.9999999999999994E-24</v>
      </c>
      <c r="F186">
        <v>35</v>
      </c>
      <c r="G186" t="str">
        <f>HYPERLINK("https://www.ncbi.nlm.nih.gov/nucleotide/XM_029884767.1?report=genbank&amp;log$=nucltop&amp;blast_rank=81&amp;RID=1ZZZ9CUG013","XM_029884767.1")</f>
        <v>XM_029884767.1</v>
      </c>
    </row>
    <row r="187" spans="1:7" x14ac:dyDescent="0.35">
      <c r="A187" t="s">
        <v>185</v>
      </c>
      <c r="B187">
        <v>114</v>
      </c>
      <c r="C187">
        <v>114</v>
      </c>
      <c r="D187" s="2">
        <v>0.27</v>
      </c>
      <c r="E187" s="3">
        <v>6.9999999999999999E-23</v>
      </c>
      <c r="F187">
        <v>34.880000000000003</v>
      </c>
      <c r="G187" t="str">
        <f>HYPERLINK("https://www.ncbi.nlm.nih.gov/nucleotide/XM_007882346.1?report=genbank&amp;log$=nucltop&amp;blast_rank=82&amp;RID=1ZZZ9CUG013","XM_007882346.1")</f>
        <v>XM_007882346.1</v>
      </c>
    </row>
    <row r="188" spans="1:7" x14ac:dyDescent="0.35">
      <c r="A188" t="s">
        <v>186</v>
      </c>
      <c r="B188">
        <v>103</v>
      </c>
      <c r="C188">
        <v>103</v>
      </c>
      <c r="D188" s="2">
        <v>0.32</v>
      </c>
      <c r="E188" s="3">
        <v>5.9999999999999999E-19</v>
      </c>
      <c r="F188">
        <v>34.71</v>
      </c>
      <c r="G188" t="str">
        <f>HYPERLINK("https://www.ncbi.nlm.nih.gov/nucleotide/XM_016784392.1?report=genbank&amp;log$=nucltop&amp;blast_rank=83&amp;RID=1ZZZ9CUG013","XM_016784392.1")</f>
        <v>XM_016784392.1</v>
      </c>
    </row>
    <row r="189" spans="1:7" x14ac:dyDescent="0.35">
      <c r="A189" t="s">
        <v>822</v>
      </c>
      <c r="B189">
        <v>121</v>
      </c>
      <c r="C189">
        <v>121</v>
      </c>
      <c r="D189" s="2">
        <v>0.36</v>
      </c>
      <c r="E189" s="3">
        <v>5.9999999999999995E-25</v>
      </c>
      <c r="F189">
        <v>34.68</v>
      </c>
      <c r="G189" t="str">
        <f>HYPERLINK("https://www.ncbi.nlm.nih.gov/nucleotide/XM_007302807.1?report=genbank&amp;log$=nucltop&amp;blast_rank=84&amp;RID=1ZZZ9CUG013","XM_007302807.1")</f>
        <v>XM_007302807.1</v>
      </c>
    </row>
    <row r="190" spans="1:7" x14ac:dyDescent="0.35">
      <c r="A190" t="s">
        <v>187</v>
      </c>
      <c r="B190">
        <v>115</v>
      </c>
      <c r="C190">
        <v>115</v>
      </c>
      <c r="D190" s="2">
        <v>0.25</v>
      </c>
      <c r="E190" s="3">
        <v>6.0000000000000001E-23</v>
      </c>
      <c r="F190">
        <v>34.39</v>
      </c>
      <c r="G190" t="str">
        <f>HYPERLINK("https://www.ncbi.nlm.nih.gov/nucleotide/XM_027754401.1?report=genbank&amp;log$=nucltop&amp;blast_rank=85&amp;RID=1ZZZ9CUG013","XM_027754401.1")</f>
        <v>XM_027754401.1</v>
      </c>
    </row>
    <row r="191" spans="1:7" x14ac:dyDescent="0.35">
      <c r="A191" t="s">
        <v>618</v>
      </c>
      <c r="B191">
        <v>100</v>
      </c>
      <c r="C191">
        <v>100</v>
      </c>
      <c r="D191" s="2">
        <v>0.32</v>
      </c>
      <c r="E191" s="3">
        <v>2.9999999999999998E-18</v>
      </c>
      <c r="F191">
        <v>34.270000000000003</v>
      </c>
      <c r="G191" t="str">
        <f>HYPERLINK("https://www.ncbi.nlm.nih.gov/nucleotide/XM_008728519.1?report=genbank&amp;log$=nucltop&amp;blast_rank=86&amp;RID=1ZZZ9CUG013","XM_008728519.1")</f>
        <v>XM_008728519.1</v>
      </c>
    </row>
    <row r="192" spans="1:7" x14ac:dyDescent="0.35">
      <c r="A192" t="s">
        <v>177</v>
      </c>
      <c r="B192">
        <v>99.8</v>
      </c>
      <c r="C192">
        <v>99.8</v>
      </c>
      <c r="D192" s="2">
        <v>0.27</v>
      </c>
      <c r="E192" s="3">
        <v>2E-19</v>
      </c>
      <c r="F192">
        <v>34.15</v>
      </c>
      <c r="G192" t="str">
        <f>HYPERLINK("https://www.ncbi.nlm.nih.gov/nucleotide/XM_007771470.1?report=genbank&amp;log$=nucltop&amp;blast_rank=87&amp;RID=1ZZZ9CUG013","XM_007771470.1")</f>
        <v>XM_007771470.1</v>
      </c>
    </row>
    <row r="193" spans="1:7" x14ac:dyDescent="0.35">
      <c r="A193" t="s">
        <v>1069</v>
      </c>
      <c r="B193">
        <v>100</v>
      </c>
      <c r="C193">
        <v>100</v>
      </c>
      <c r="D193" s="2">
        <v>0.32</v>
      </c>
      <c r="E193" s="3">
        <v>4.0000000000000003E-18</v>
      </c>
      <c r="F193">
        <v>34.119999999999997</v>
      </c>
      <c r="G193" t="str">
        <f>HYPERLINK("https://www.ncbi.nlm.nih.gov/nucleotide/XM_014224597.1?report=genbank&amp;log$=nucltop&amp;blast_rank=88&amp;RID=1ZZZ9CUG013","XM_014224597.1")</f>
        <v>XM_014224597.1</v>
      </c>
    </row>
    <row r="194" spans="1:7" x14ac:dyDescent="0.35">
      <c r="A194" t="s">
        <v>1070</v>
      </c>
      <c r="B194">
        <v>100</v>
      </c>
      <c r="C194">
        <v>100</v>
      </c>
      <c r="D194" s="2">
        <v>0.32</v>
      </c>
      <c r="E194" s="3">
        <v>5.0000000000000004E-18</v>
      </c>
      <c r="F194">
        <v>34.119999999999997</v>
      </c>
      <c r="G194" t="str">
        <f>HYPERLINK("https://www.ncbi.nlm.nih.gov/nucleotide/XM_007690464.1?report=genbank&amp;log$=nucltop&amp;blast_rank=89&amp;RID=1ZZZ9CUG013","XM_007690464.1")</f>
        <v>XM_007690464.1</v>
      </c>
    </row>
    <row r="195" spans="1:7" x14ac:dyDescent="0.35">
      <c r="A195" t="s">
        <v>188</v>
      </c>
      <c r="B195">
        <v>110</v>
      </c>
      <c r="C195">
        <v>110</v>
      </c>
      <c r="D195" s="2">
        <v>0.24</v>
      </c>
      <c r="E195" s="3">
        <v>2.9999999999999999E-21</v>
      </c>
      <c r="F195">
        <v>33.99</v>
      </c>
      <c r="G195" t="str">
        <f>HYPERLINK("https://www.ncbi.nlm.nih.gov/nucleotide/XM_025521795.1?report=genbank&amp;log$=nucltop&amp;blast_rank=90&amp;RID=1ZZZ9CUG013","XM_025521795.1")</f>
        <v>XM_025521795.1</v>
      </c>
    </row>
    <row r="196" spans="1:7" x14ac:dyDescent="0.35">
      <c r="A196" s="4" t="s">
        <v>820</v>
      </c>
      <c r="B196" s="4">
        <v>110</v>
      </c>
      <c r="C196" s="4">
        <v>110</v>
      </c>
      <c r="D196" s="5">
        <v>0.24</v>
      </c>
      <c r="E196" s="6">
        <v>1.9999999999999998E-21</v>
      </c>
      <c r="F196" s="4">
        <v>33.770000000000003</v>
      </c>
      <c r="G196" s="4" t="str">
        <f>HYPERLINK("https://www.ncbi.nlm.nih.gov/nucleotide/XM_002911188.1?report=genbank&amp;log$=nucltop&amp;blast_rank=91&amp;RID=1ZZZ9CUG013","XM_002911188.1")</f>
        <v>XM_002911188.1</v>
      </c>
    </row>
    <row r="197" spans="1:7" x14ac:dyDescent="0.35">
      <c r="A197" t="s">
        <v>191</v>
      </c>
      <c r="B197">
        <v>100</v>
      </c>
      <c r="C197">
        <v>100</v>
      </c>
      <c r="D197" s="2">
        <v>0.32</v>
      </c>
      <c r="E197" s="3">
        <v>5.0000000000000004E-18</v>
      </c>
      <c r="F197">
        <v>33.71</v>
      </c>
      <c r="G197" t="str">
        <f>HYPERLINK("https://www.ncbi.nlm.nih.gov/nucleotide/XM_016385123.1?report=genbank&amp;log$=nucltop&amp;blast_rank=92&amp;RID=1ZZZ9CUG013","XM_016385123.1")</f>
        <v>XM_016385123.1</v>
      </c>
    </row>
    <row r="198" spans="1:7" x14ac:dyDescent="0.35">
      <c r="A198" t="s">
        <v>190</v>
      </c>
      <c r="B198">
        <v>118</v>
      </c>
      <c r="C198">
        <v>118</v>
      </c>
      <c r="D198" s="2">
        <v>0.3</v>
      </c>
      <c r="E198" s="3">
        <v>9.9999999999999996E-24</v>
      </c>
      <c r="F198">
        <v>33.33</v>
      </c>
      <c r="G198" t="str">
        <f>HYPERLINK("https://www.ncbi.nlm.nih.gov/nucleotide/HG529702.1?report=genbank&amp;log$=nucltop&amp;blast_rank=93&amp;RID=1ZZZ9CUG013","HG529702.1")</f>
        <v>HG529702.1</v>
      </c>
    </row>
    <row r="199" spans="1:7" x14ac:dyDescent="0.35">
      <c r="A199" t="s">
        <v>193</v>
      </c>
      <c r="B199">
        <v>98.2</v>
      </c>
      <c r="C199">
        <v>98.2</v>
      </c>
      <c r="D199" s="2">
        <v>0.25</v>
      </c>
      <c r="E199" s="3">
        <v>7.9999999999999996E-20</v>
      </c>
      <c r="F199">
        <v>33.33</v>
      </c>
      <c r="G199" t="str">
        <f>HYPERLINK("https://www.ncbi.nlm.nih.gov/nucleotide/XM_025490272.1?report=genbank&amp;log$=nucltop&amp;blast_rank=94&amp;RID=1ZZZ9CUG013","XM_025490272.1")</f>
        <v>XM_025490272.1</v>
      </c>
    </row>
    <row r="200" spans="1:7" x14ac:dyDescent="0.35">
      <c r="A200" t="s">
        <v>174</v>
      </c>
      <c r="B200">
        <v>102</v>
      </c>
      <c r="C200">
        <v>102</v>
      </c>
      <c r="D200" s="2">
        <v>0.32</v>
      </c>
      <c r="E200" s="3">
        <v>1.0000000000000001E-18</v>
      </c>
      <c r="F200">
        <v>33.14</v>
      </c>
      <c r="G200" t="str">
        <f>HYPERLINK("https://www.ncbi.nlm.nih.gov/nucleotide/XM_016779755.1?report=genbank&amp;log$=nucltop&amp;blast_rank=95&amp;RID=1ZZZ9CUG013","XM_016779755.1")</f>
        <v>XM_016779755.1</v>
      </c>
    </row>
    <row r="201" spans="1:7" x14ac:dyDescent="0.35">
      <c r="A201" t="s">
        <v>192</v>
      </c>
      <c r="B201">
        <v>120</v>
      </c>
      <c r="C201">
        <v>120</v>
      </c>
      <c r="D201" s="2">
        <v>0.3</v>
      </c>
      <c r="E201" s="3">
        <v>1.9999999999999998E-24</v>
      </c>
      <c r="F201">
        <v>32.97</v>
      </c>
      <c r="G201" t="str">
        <f>HYPERLINK("https://www.ncbi.nlm.nih.gov/nucleotide/LT558139.1?report=genbank&amp;log$=nucltop&amp;blast_rank=96&amp;RID=1ZZZ9CUG013","LT558139.1")</f>
        <v>LT558139.1</v>
      </c>
    </row>
    <row r="202" spans="1:7" x14ac:dyDescent="0.35">
      <c r="A202" t="s">
        <v>189</v>
      </c>
      <c r="B202">
        <v>120</v>
      </c>
      <c r="C202">
        <v>120</v>
      </c>
      <c r="D202" s="2">
        <v>0.32</v>
      </c>
      <c r="E202" s="3">
        <v>9.9999999999999992E-25</v>
      </c>
      <c r="F202">
        <v>32.880000000000003</v>
      </c>
      <c r="G202" t="str">
        <f>HYPERLINK("https://www.ncbi.nlm.nih.gov/nucleotide/XM_007407308.1?report=genbank&amp;log$=nucltop&amp;blast_rank=97&amp;RID=1ZZZ9CUG013","XM_007407308.1")</f>
        <v>XM_007407308.1</v>
      </c>
    </row>
    <row r="203" spans="1:7" x14ac:dyDescent="0.35">
      <c r="A203" t="s">
        <v>823</v>
      </c>
      <c r="B203">
        <v>105</v>
      </c>
      <c r="C203">
        <v>105</v>
      </c>
      <c r="D203" s="2">
        <v>0.25</v>
      </c>
      <c r="E203" s="3">
        <v>7.0000000000000001E-20</v>
      </c>
      <c r="F203">
        <v>32.020000000000003</v>
      </c>
      <c r="G203" t="str">
        <f>HYPERLINK("https://www.ncbi.nlm.nih.gov/nucleotide/XM_007268243.1?report=genbank&amp;log$=nucltop&amp;blast_rank=98&amp;RID=1ZZZ9CUG013","XM_007268243.1")</f>
        <v>XM_007268243.1</v>
      </c>
    </row>
    <row r="204" spans="1:7" x14ac:dyDescent="0.35">
      <c r="A204" t="s">
        <v>194</v>
      </c>
      <c r="B204">
        <v>112</v>
      </c>
      <c r="C204">
        <v>112</v>
      </c>
      <c r="D204" s="2">
        <v>0.36</v>
      </c>
      <c r="E204" s="3">
        <v>2.9999999999999999E-22</v>
      </c>
      <c r="F204">
        <v>31.82</v>
      </c>
      <c r="G204" t="str">
        <f>HYPERLINK("https://www.ncbi.nlm.nih.gov/nucleotide/XM_007392158.1?report=genbank&amp;log$=nucltop&amp;blast_rank=99&amp;RID=1ZZZ9CUG013","XM_007392158.1")</f>
        <v>XM_007392158.1</v>
      </c>
    </row>
    <row r="205" spans="1:7" x14ac:dyDescent="0.35">
      <c r="A205" t="s">
        <v>19</v>
      </c>
      <c r="B205">
        <v>101</v>
      </c>
      <c r="C205">
        <v>101</v>
      </c>
      <c r="D205" s="2">
        <v>0.36</v>
      </c>
      <c r="E205" s="3">
        <v>2.0000000000000001E-18</v>
      </c>
      <c r="F205">
        <v>29.13</v>
      </c>
      <c r="G205" t="str">
        <f>HYPERLINK("https://www.ncbi.nlm.nih.gov/nucleotide/XM_001877176.1?report=genbank&amp;log$=nucltop&amp;blast_rank=100&amp;RID=1ZZZ9CUG013","XM_001877176.1")</f>
        <v>XM_001877176.1</v>
      </c>
    </row>
    <row r="206" spans="1:7" x14ac:dyDescent="0.35">
      <c r="A206" s="1" t="s">
        <v>1071</v>
      </c>
    </row>
    <row r="207" spans="1:7" x14ac:dyDescent="0.35">
      <c r="A207" s="1" t="s">
        <v>2</v>
      </c>
      <c r="B207" s="1" t="s">
        <v>3</v>
      </c>
      <c r="C207" s="1" t="s">
        <v>4</v>
      </c>
      <c r="D207" s="1" t="s">
        <v>5</v>
      </c>
      <c r="E207" s="1" t="s">
        <v>6</v>
      </c>
      <c r="F207" s="1" t="s">
        <v>7</v>
      </c>
      <c r="G207" s="1" t="s">
        <v>8</v>
      </c>
    </row>
    <row r="208" spans="1:7" x14ac:dyDescent="0.35">
      <c r="A208" t="s">
        <v>21</v>
      </c>
      <c r="B208">
        <v>245</v>
      </c>
      <c r="C208">
        <v>245</v>
      </c>
      <c r="D208" s="2">
        <v>0.82</v>
      </c>
      <c r="E208" s="3">
        <v>1E-78</v>
      </c>
      <c r="F208">
        <v>60.71</v>
      </c>
      <c r="G208" t="str">
        <f>HYPERLINK("https://www.ncbi.nlm.nih.gov/nucleotide/XM_009546989.1?report=genbank&amp;log$=nucltop&amp;blast_rank=1&amp;RID=2000RA06013","XM_009546989.1")</f>
        <v>XM_009546989.1</v>
      </c>
    </row>
    <row r="209" spans="1:7" x14ac:dyDescent="0.35">
      <c r="A209" t="s">
        <v>9</v>
      </c>
      <c r="B209">
        <v>149</v>
      </c>
      <c r="C209">
        <v>368</v>
      </c>
      <c r="D209" s="2">
        <v>1</v>
      </c>
      <c r="E209" s="3">
        <v>2E-85</v>
      </c>
      <c r="F209">
        <v>59.86</v>
      </c>
      <c r="G209" t="str">
        <f>HYPERLINK("https://www.ncbi.nlm.nih.gov/nucleotide/LR732079.1?report=genbank&amp;log$=nucltop&amp;blast_rank=2&amp;RID=2000RA06013","LR732079.1")</f>
        <v>LR732079.1</v>
      </c>
    </row>
    <row r="210" spans="1:7" x14ac:dyDescent="0.35">
      <c r="A210" t="s">
        <v>198</v>
      </c>
      <c r="B210">
        <v>273</v>
      </c>
      <c r="C210">
        <v>273</v>
      </c>
      <c r="D210" s="2">
        <v>0.97</v>
      </c>
      <c r="E210" s="3">
        <v>4.0000000000000001E-87</v>
      </c>
      <c r="F210">
        <v>57.94</v>
      </c>
      <c r="G210" t="str">
        <f>HYPERLINK("https://www.ncbi.nlm.nih.gov/nucleotide/XM_007870715.1?report=genbank&amp;log$=nucltop&amp;blast_rank=3&amp;RID=2000RA06013","XM_007870715.1")</f>
        <v>XM_007870715.1</v>
      </c>
    </row>
    <row r="211" spans="1:7" x14ac:dyDescent="0.35">
      <c r="A211" t="s">
        <v>201</v>
      </c>
      <c r="B211">
        <v>270</v>
      </c>
      <c r="C211">
        <v>270</v>
      </c>
      <c r="D211" s="2">
        <v>0.97</v>
      </c>
      <c r="E211" s="3">
        <v>7.9999999999999998E-85</v>
      </c>
      <c r="F211">
        <v>57.76</v>
      </c>
      <c r="G211" t="str">
        <f>HYPERLINK("https://www.ncbi.nlm.nih.gov/nucleotide/XM_027763129.1?report=genbank&amp;log$=nucltop&amp;blast_rank=4&amp;RID=2000RA06013","XM_027763129.1")</f>
        <v>XM_027763129.1</v>
      </c>
    </row>
    <row r="212" spans="1:7" x14ac:dyDescent="0.35">
      <c r="A212" t="s">
        <v>473</v>
      </c>
      <c r="B212">
        <v>154</v>
      </c>
      <c r="C212">
        <v>154</v>
      </c>
      <c r="D212" s="2">
        <v>0.61</v>
      </c>
      <c r="E212" s="3">
        <v>7.9999999999999994E-39</v>
      </c>
      <c r="F212">
        <v>56.71</v>
      </c>
      <c r="G212" t="str">
        <f>HYPERLINK("https://www.ncbi.nlm.nih.gov/nucleotide/CP068007.1?report=genbank&amp;log$=nucltop&amp;blast_rank=5&amp;RID=2000RA06013","CP068007.1")</f>
        <v>CP068007.1</v>
      </c>
    </row>
    <row r="213" spans="1:7" x14ac:dyDescent="0.35">
      <c r="A213" t="s">
        <v>204</v>
      </c>
      <c r="B213">
        <v>259</v>
      </c>
      <c r="C213">
        <v>259</v>
      </c>
      <c r="D213" s="2">
        <v>0.97</v>
      </c>
      <c r="E213" s="3">
        <v>2.9999999999999999E-81</v>
      </c>
      <c r="F213">
        <v>56.41</v>
      </c>
      <c r="G213" t="str">
        <f>HYPERLINK("https://www.ncbi.nlm.nih.gov/nucleotide/XM_008041438.1?report=genbank&amp;log$=nucltop&amp;blast_rank=6&amp;RID=2000RA06013","XM_008041438.1")</f>
        <v>XM_008041438.1</v>
      </c>
    </row>
    <row r="214" spans="1:7" x14ac:dyDescent="0.35">
      <c r="A214" t="s">
        <v>199</v>
      </c>
      <c r="B214">
        <v>269</v>
      </c>
      <c r="C214">
        <v>269</v>
      </c>
      <c r="D214" s="2">
        <v>0.98</v>
      </c>
      <c r="E214" s="3">
        <v>9.9999999999999998E-86</v>
      </c>
      <c r="F214">
        <v>56.17</v>
      </c>
      <c r="G214" t="str">
        <f>HYPERLINK("https://www.ncbi.nlm.nih.gov/nucleotide/XM_007393489.1?report=genbank&amp;log$=nucltop&amp;blast_rank=7&amp;RID=2000RA06013","XM_007393489.1")</f>
        <v>XM_007393489.1</v>
      </c>
    </row>
    <row r="215" spans="1:7" x14ac:dyDescent="0.35">
      <c r="A215" t="s">
        <v>202</v>
      </c>
      <c r="B215">
        <v>269</v>
      </c>
      <c r="C215">
        <v>269</v>
      </c>
      <c r="D215" s="2">
        <v>0.99</v>
      </c>
      <c r="E215" s="3">
        <v>4.0000000000000001E-87</v>
      </c>
      <c r="F215">
        <v>55.79</v>
      </c>
      <c r="G215" t="str">
        <f>HYPERLINK("https://www.ncbi.nlm.nih.gov/nucleotide/XM_007389005.1?report=genbank&amp;log$=nucltop&amp;blast_rank=8&amp;RID=2000RA06013","XM_007389005.1")</f>
        <v>XM_007389005.1</v>
      </c>
    </row>
    <row r="216" spans="1:7" x14ac:dyDescent="0.35">
      <c r="A216" t="s">
        <v>200</v>
      </c>
      <c r="B216">
        <v>259</v>
      </c>
      <c r="C216">
        <v>259</v>
      </c>
      <c r="D216" s="2">
        <v>0.94</v>
      </c>
      <c r="E216" s="3">
        <v>2E-79</v>
      </c>
      <c r="F216">
        <v>55.51</v>
      </c>
      <c r="G216" t="str">
        <f>HYPERLINK("https://www.ncbi.nlm.nih.gov/nucleotide/XM_003029540.1?report=genbank&amp;log$=nucltop&amp;blast_rank=9&amp;RID=2000RA06013","XM_003029540.1")</f>
        <v>XM_003029540.1</v>
      </c>
    </row>
    <row r="217" spans="1:7" x14ac:dyDescent="0.35">
      <c r="A217" t="s">
        <v>18</v>
      </c>
      <c r="B217">
        <v>160</v>
      </c>
      <c r="C217">
        <v>160</v>
      </c>
      <c r="D217" s="2">
        <v>0.56000000000000005</v>
      </c>
      <c r="E217" s="3">
        <v>5.9999999999999998E-41</v>
      </c>
      <c r="F217">
        <v>55.13</v>
      </c>
      <c r="G217" t="str">
        <f>HYPERLINK("https://www.ncbi.nlm.nih.gov/nucleotide/CP015474.1?report=genbank&amp;log$=nucltop&amp;blast_rank=10&amp;RID=2000RA06013","CP015474.1")</f>
        <v>CP015474.1</v>
      </c>
    </row>
    <row r="218" spans="1:7" x14ac:dyDescent="0.35">
      <c r="A218" t="s">
        <v>17</v>
      </c>
      <c r="B218">
        <v>160</v>
      </c>
      <c r="C218">
        <v>160</v>
      </c>
      <c r="D218" s="2">
        <v>0.56000000000000005</v>
      </c>
      <c r="E218" s="3">
        <v>5.9999999999999998E-41</v>
      </c>
      <c r="F218">
        <v>55.13</v>
      </c>
      <c r="G218" t="str">
        <f>HYPERLINK("https://www.ncbi.nlm.nih.gov/nucleotide/CP015461.1?report=genbank&amp;log$=nucltop&amp;blast_rank=11&amp;RID=2000RA06013","CP015461.1")</f>
        <v>CP015461.1</v>
      </c>
    </row>
    <row r="219" spans="1:7" x14ac:dyDescent="0.35">
      <c r="A219" t="s">
        <v>16</v>
      </c>
      <c r="B219">
        <v>160</v>
      </c>
      <c r="C219">
        <v>160</v>
      </c>
      <c r="D219" s="2">
        <v>0.56000000000000005</v>
      </c>
      <c r="E219" s="3">
        <v>5.9999999999999998E-41</v>
      </c>
      <c r="F219">
        <v>55.13</v>
      </c>
      <c r="G219" t="str">
        <f>HYPERLINK("https://www.ncbi.nlm.nih.gov/nucleotide/CP039877.1?report=genbank&amp;log$=nucltop&amp;blast_rank=12&amp;RID=2000RA06013","CP039877.1")</f>
        <v>CP039877.1</v>
      </c>
    </row>
    <row r="220" spans="1:7" x14ac:dyDescent="0.35">
      <c r="A220" t="s">
        <v>205</v>
      </c>
      <c r="B220">
        <v>258</v>
      </c>
      <c r="C220">
        <v>258</v>
      </c>
      <c r="D220" s="2">
        <v>0.96</v>
      </c>
      <c r="E220" s="3">
        <v>9.0000000000000006E-81</v>
      </c>
      <c r="F220">
        <v>54.35</v>
      </c>
      <c r="G220" t="str">
        <f>HYPERLINK("https://www.ncbi.nlm.nih.gov/nucleotide/XM_007318641.1?report=genbank&amp;log$=nucltop&amp;blast_rank=13&amp;RID=2000RA06013","XM_007318641.1")</f>
        <v>XM_007318641.1</v>
      </c>
    </row>
    <row r="221" spans="1:7" x14ac:dyDescent="0.35">
      <c r="A221" t="s">
        <v>203</v>
      </c>
      <c r="B221">
        <v>241</v>
      </c>
      <c r="C221">
        <v>241</v>
      </c>
      <c r="D221" s="2">
        <v>0.95</v>
      </c>
      <c r="E221" s="3">
        <v>9.9999999999999996E-76</v>
      </c>
      <c r="F221">
        <v>54.11</v>
      </c>
      <c r="G221" t="str">
        <f>HYPERLINK("https://www.ncbi.nlm.nih.gov/nucleotide/XM_007263367.1?report=genbank&amp;log$=nucltop&amp;blast_rank=14&amp;RID=2000RA06013","XM_007263367.1")</f>
        <v>XM_007263367.1</v>
      </c>
    </row>
    <row r="222" spans="1:7" x14ac:dyDescent="0.35">
      <c r="A222" t="s">
        <v>120</v>
      </c>
      <c r="B222">
        <v>264</v>
      </c>
      <c r="C222">
        <v>264</v>
      </c>
      <c r="D222" s="2">
        <v>0.97</v>
      </c>
      <c r="E222" s="3">
        <v>3.9999999999999999E-85</v>
      </c>
      <c r="F222">
        <v>53.85</v>
      </c>
      <c r="G222" t="str">
        <f>HYPERLINK("https://www.ncbi.nlm.nih.gov/nucleotide/XM_012328136.1?report=genbank&amp;log$=nucltop&amp;blast_rank=15&amp;RID=2000RA06013","XM_012328136.1")</f>
        <v>XM_012328136.1</v>
      </c>
    </row>
    <row r="223" spans="1:7" x14ac:dyDescent="0.35">
      <c r="A223" t="s">
        <v>206</v>
      </c>
      <c r="B223">
        <v>260</v>
      </c>
      <c r="C223">
        <v>260</v>
      </c>
      <c r="D223" s="2">
        <v>0.96</v>
      </c>
      <c r="E223" s="3">
        <v>5.9999999999999998E-82</v>
      </c>
      <c r="F223">
        <v>53.68</v>
      </c>
      <c r="G223" t="str">
        <f>HYPERLINK("https://www.ncbi.nlm.nih.gov/nucleotide/XM_024477854.1?report=genbank&amp;log$=nucltop&amp;blast_rank=16&amp;RID=2000RA06013","XM_024477854.1")</f>
        <v>XM_024477854.1</v>
      </c>
    </row>
    <row r="224" spans="1:7" x14ac:dyDescent="0.35">
      <c r="A224" t="s">
        <v>208</v>
      </c>
      <c r="B224">
        <v>258</v>
      </c>
      <c r="C224">
        <v>258</v>
      </c>
      <c r="D224" s="2">
        <v>0.99</v>
      </c>
      <c r="E224" s="3">
        <v>7.0000000000000006E-83</v>
      </c>
      <c r="F224">
        <v>53.5</v>
      </c>
      <c r="G224" t="str">
        <f>HYPERLINK("https://www.ncbi.nlm.nih.gov/nucleotide/XM_037359090.1?report=genbank&amp;log$=nucltop&amp;blast_rank=17&amp;RID=2000RA06013","XM_037359090.1")</f>
        <v>XM_037359090.1</v>
      </c>
    </row>
    <row r="225" spans="1:7" x14ac:dyDescent="0.35">
      <c r="A225" t="s">
        <v>207</v>
      </c>
      <c r="B225">
        <v>249</v>
      </c>
      <c r="C225">
        <v>249</v>
      </c>
      <c r="D225" s="2">
        <v>0.96</v>
      </c>
      <c r="E225" s="3">
        <v>2E-79</v>
      </c>
      <c r="F225">
        <v>52.81</v>
      </c>
      <c r="G225" t="str">
        <f>HYPERLINK("https://www.ncbi.nlm.nih.gov/nucleotide/XM_006459159.1?report=genbank&amp;log$=nucltop&amp;blast_rank=18&amp;RID=2000RA06013","XM_006459159.1")</f>
        <v>XM_006459159.1</v>
      </c>
    </row>
    <row r="226" spans="1:7" x14ac:dyDescent="0.35">
      <c r="A226" t="s">
        <v>217</v>
      </c>
      <c r="B226">
        <v>253</v>
      </c>
      <c r="C226">
        <v>253</v>
      </c>
      <c r="D226" s="2">
        <v>0.96</v>
      </c>
      <c r="E226" s="3">
        <v>9.9999999999999996E-81</v>
      </c>
      <c r="F226">
        <v>51.95</v>
      </c>
      <c r="G226" t="str">
        <f>HYPERLINK("https://www.ncbi.nlm.nih.gov/nucleotide/XM_007362271.1?report=genbank&amp;log$=nucltop&amp;blast_rank=19&amp;RID=2000RA06013","XM_007362271.1")</f>
        <v>XM_007362271.1</v>
      </c>
    </row>
    <row r="227" spans="1:7" x14ac:dyDescent="0.35">
      <c r="A227" t="s">
        <v>215</v>
      </c>
      <c r="B227">
        <v>242</v>
      </c>
      <c r="C227">
        <v>242</v>
      </c>
      <c r="D227" s="2">
        <v>0.97</v>
      </c>
      <c r="E227" s="3">
        <v>7.9999999999999994E-77</v>
      </c>
      <c r="F227">
        <v>51.5</v>
      </c>
      <c r="G227" t="str">
        <f>HYPERLINK("https://www.ncbi.nlm.nih.gov/nucleotide/XM_007299197.1?report=genbank&amp;log$=nucltop&amp;blast_rank=20&amp;RID=2000RA06013","XM_007299197.1")</f>
        <v>XM_007299197.1</v>
      </c>
    </row>
    <row r="228" spans="1:7" x14ac:dyDescent="0.35">
      <c r="A228" t="s">
        <v>210</v>
      </c>
      <c r="B228">
        <v>134</v>
      </c>
      <c r="C228">
        <v>134</v>
      </c>
      <c r="D228" s="2">
        <v>0.61</v>
      </c>
      <c r="E228" s="3">
        <v>6E-34</v>
      </c>
      <c r="F228">
        <v>50.67</v>
      </c>
      <c r="G228" t="str">
        <f>HYPERLINK("https://www.ncbi.nlm.nih.gov/nucleotide/XM_031139192.1?report=genbank&amp;log$=nucltop&amp;blast_rank=21&amp;RID=2000RA06013","XM_031139192.1")</f>
        <v>XM_031139192.1</v>
      </c>
    </row>
    <row r="229" spans="1:7" x14ac:dyDescent="0.35">
      <c r="A229" t="s">
        <v>177</v>
      </c>
      <c r="B229">
        <v>243</v>
      </c>
      <c r="C229">
        <v>243</v>
      </c>
      <c r="D229" s="2">
        <v>0.96</v>
      </c>
      <c r="E229" s="3">
        <v>3.9999999999999997E-76</v>
      </c>
      <c r="F229">
        <v>48.92</v>
      </c>
      <c r="G229" t="str">
        <f>HYPERLINK("https://www.ncbi.nlm.nih.gov/nucleotide/XM_007767661.1?report=genbank&amp;log$=nucltop&amp;blast_rank=22&amp;RID=2000RA06013","XM_007767661.1")</f>
        <v>XM_007767661.1</v>
      </c>
    </row>
    <row r="230" spans="1:7" x14ac:dyDescent="0.35">
      <c r="A230" t="s">
        <v>107</v>
      </c>
      <c r="B230">
        <v>177</v>
      </c>
      <c r="C230">
        <v>177</v>
      </c>
      <c r="D230" s="2">
        <v>0.73</v>
      </c>
      <c r="E230" s="3">
        <v>1E-46</v>
      </c>
      <c r="F230">
        <v>46.98</v>
      </c>
      <c r="G230" t="str">
        <f>HYPERLINK("https://www.ncbi.nlm.nih.gov/nucleotide/CP019380.1?report=genbank&amp;log$=nucltop&amp;blast_rank=23&amp;RID=2000RA06013","CP019380.1")</f>
        <v>CP019380.1</v>
      </c>
    </row>
    <row r="231" spans="1:7" x14ac:dyDescent="0.35">
      <c r="A231" t="s">
        <v>245</v>
      </c>
      <c r="B231">
        <v>206</v>
      </c>
      <c r="C231">
        <v>206</v>
      </c>
      <c r="D231" s="2">
        <v>0.94</v>
      </c>
      <c r="E231" s="3">
        <v>8.9999999999999999E-63</v>
      </c>
      <c r="F231">
        <v>46.05</v>
      </c>
      <c r="G231" t="str">
        <f>HYPERLINK("https://www.ncbi.nlm.nih.gov/nucleotide/XM_001836371.2?report=genbank&amp;log$=nucltop&amp;blast_rank=24&amp;RID=2000RA06013","XM_001836371.2")</f>
        <v>XM_001836371.2</v>
      </c>
    </row>
    <row r="232" spans="1:7" x14ac:dyDescent="0.35">
      <c r="A232" t="s">
        <v>231</v>
      </c>
      <c r="B232">
        <v>174</v>
      </c>
      <c r="C232">
        <v>174</v>
      </c>
      <c r="D232" s="2">
        <v>0.84</v>
      </c>
      <c r="E232" s="3">
        <v>4.9999999999999997E-50</v>
      </c>
      <c r="F232">
        <v>45.89</v>
      </c>
      <c r="G232" t="str">
        <f>HYPERLINK("https://www.ncbi.nlm.nih.gov/nucleotide/XM_011122679.1?report=genbank&amp;log$=nucltop&amp;blast_rank=25&amp;RID=2000RA06013","XM_011122679.1")</f>
        <v>XM_011122679.1</v>
      </c>
    </row>
    <row r="233" spans="1:7" x14ac:dyDescent="0.35">
      <c r="A233" s="4" t="s">
        <v>731</v>
      </c>
      <c r="B233" s="4">
        <v>128</v>
      </c>
      <c r="C233" s="4">
        <v>128</v>
      </c>
      <c r="D233" s="5">
        <v>0.75</v>
      </c>
      <c r="E233" s="6">
        <v>3E-32</v>
      </c>
      <c r="F233" s="4">
        <v>45.41</v>
      </c>
      <c r="G233" s="4" t="str">
        <f>HYPERLINK("https://www.ncbi.nlm.nih.gov/nucleotide/XM_007824808.1?report=genbank&amp;log$=nucltop&amp;blast_rank=26&amp;RID=2000RA06013","XM_007824808.1")</f>
        <v>XM_007824808.1</v>
      </c>
    </row>
    <row r="234" spans="1:7" x14ac:dyDescent="0.35">
      <c r="A234" t="s">
        <v>232</v>
      </c>
      <c r="B234">
        <v>155</v>
      </c>
      <c r="C234">
        <v>155</v>
      </c>
      <c r="D234" s="2">
        <v>0.81</v>
      </c>
      <c r="E234" s="3">
        <v>4.0000000000000002E-42</v>
      </c>
      <c r="F234">
        <v>45.23</v>
      </c>
      <c r="G234" t="str">
        <f>HYPERLINK("https://www.ncbi.nlm.nih.gov/nucleotide/XM_003352052.1?report=genbank&amp;log$=nucltop&amp;blast_rank=27&amp;RID=2000RA06013","XM_003352052.1")</f>
        <v>XM_003352052.1</v>
      </c>
    </row>
    <row r="235" spans="1:7" x14ac:dyDescent="0.35">
      <c r="A235" t="s">
        <v>732</v>
      </c>
      <c r="B235">
        <v>128</v>
      </c>
      <c r="C235">
        <v>128</v>
      </c>
      <c r="D235" s="2">
        <v>0.75</v>
      </c>
      <c r="E235" s="3">
        <v>3E-32</v>
      </c>
      <c r="F235">
        <v>44.86</v>
      </c>
      <c r="G235" t="str">
        <f>HYPERLINK("https://www.ncbi.nlm.nih.gov/nucleotide/XM_007810579.1?report=genbank&amp;log$=nucltop&amp;blast_rank=28&amp;RID=2000RA06013","XM_007810579.1")</f>
        <v>XM_007810579.1</v>
      </c>
    </row>
    <row r="236" spans="1:7" x14ac:dyDescent="0.35">
      <c r="A236" t="s">
        <v>233</v>
      </c>
      <c r="B236">
        <v>155</v>
      </c>
      <c r="C236">
        <v>155</v>
      </c>
      <c r="D236" s="2">
        <v>0.84</v>
      </c>
      <c r="E236" s="3">
        <v>3.0000000000000003E-42</v>
      </c>
      <c r="F236">
        <v>44.71</v>
      </c>
      <c r="G236" t="str">
        <f>HYPERLINK("https://www.ncbi.nlm.nih.gov/nucleotide/XM_002842253.1?report=genbank&amp;log$=nucltop&amp;blast_rank=29&amp;RID=2000RA06013","XM_002842253.1")</f>
        <v>XM_002842253.1</v>
      </c>
    </row>
    <row r="237" spans="1:7" x14ac:dyDescent="0.35">
      <c r="A237" t="s">
        <v>279</v>
      </c>
      <c r="B237">
        <v>151</v>
      </c>
      <c r="C237">
        <v>151</v>
      </c>
      <c r="D237" s="2">
        <v>0.8</v>
      </c>
      <c r="E237" s="3">
        <v>5.9999999999999998E-41</v>
      </c>
      <c r="F237">
        <v>44.67</v>
      </c>
      <c r="G237" t="str">
        <f>HYPERLINK("https://www.ncbi.nlm.nih.gov/nucleotide/XM_028635266.1?report=genbank&amp;log$=nucltop&amp;blast_rank=30&amp;RID=2000RA06013","XM_028635266.1")</f>
        <v>XM_028635266.1</v>
      </c>
    </row>
    <row r="238" spans="1:7" x14ac:dyDescent="0.35">
      <c r="A238" t="s">
        <v>282</v>
      </c>
      <c r="B238">
        <v>155</v>
      </c>
      <c r="C238">
        <v>155</v>
      </c>
      <c r="D238" s="2">
        <v>0.8</v>
      </c>
      <c r="E238" s="3">
        <v>2.0000000000000001E-42</v>
      </c>
      <c r="F238">
        <v>44.62</v>
      </c>
      <c r="G238" t="str">
        <f>HYPERLINK("https://www.ncbi.nlm.nih.gov/nucleotide/XM_031153619.1?report=genbank&amp;log$=nucltop&amp;blast_rank=31&amp;RID=2000RA06013","XM_031153619.1")</f>
        <v>XM_031153619.1</v>
      </c>
    </row>
    <row r="239" spans="1:7" x14ac:dyDescent="0.35">
      <c r="A239" t="s">
        <v>234</v>
      </c>
      <c r="B239">
        <v>142</v>
      </c>
      <c r="C239">
        <v>142</v>
      </c>
      <c r="D239" s="2">
        <v>0.81</v>
      </c>
      <c r="E239" s="3">
        <v>2.9999999999999999E-35</v>
      </c>
      <c r="F239">
        <v>44.5</v>
      </c>
      <c r="G239" t="str">
        <f>HYPERLINK("https://www.ncbi.nlm.nih.gov/nucleotide/XM_003662060.1?report=genbank&amp;log$=nucltop&amp;blast_rank=32&amp;RID=2000RA06013","XM_003662060.1")</f>
        <v>XM_003662060.1</v>
      </c>
    </row>
    <row r="240" spans="1:7" x14ac:dyDescent="0.35">
      <c r="A240" s="4" t="s">
        <v>235</v>
      </c>
      <c r="B240" s="4">
        <v>150</v>
      </c>
      <c r="C240" s="4">
        <v>150</v>
      </c>
      <c r="D240" s="5">
        <v>0.81</v>
      </c>
      <c r="E240" s="6">
        <v>5.0000000000000003E-38</v>
      </c>
      <c r="F240" s="4">
        <v>44.22</v>
      </c>
      <c r="G240" s="4" t="str">
        <f>HYPERLINK("https://www.ncbi.nlm.nih.gov/nucleotide/XM_955647.2?report=genbank&amp;log$=nucltop&amp;blast_rank=33&amp;RID=2000RA06013","XM_955647.2")</f>
        <v>XM_955647.2</v>
      </c>
    </row>
    <row r="241" spans="1:7" x14ac:dyDescent="0.35">
      <c r="A241" t="s">
        <v>249</v>
      </c>
      <c r="B241">
        <v>151</v>
      </c>
      <c r="C241">
        <v>151</v>
      </c>
      <c r="D241" s="2">
        <v>0.8</v>
      </c>
      <c r="E241" s="3">
        <v>3.0000000000000002E-40</v>
      </c>
      <c r="F241">
        <v>44.16</v>
      </c>
      <c r="G241" t="str">
        <f>HYPERLINK("https://www.ncbi.nlm.nih.gov/nucleotide/XM_009650293.1?report=genbank&amp;log$=nucltop&amp;blast_rank=34&amp;RID=2000RA06013","XM_009650293.1")</f>
        <v>XM_009650293.1</v>
      </c>
    </row>
    <row r="242" spans="1:7" x14ac:dyDescent="0.35">
      <c r="A242" t="s">
        <v>250</v>
      </c>
      <c r="B242">
        <v>151</v>
      </c>
      <c r="C242">
        <v>151</v>
      </c>
      <c r="D242" s="2">
        <v>0.8</v>
      </c>
      <c r="E242" s="3">
        <v>1.0000000000000001E-37</v>
      </c>
      <c r="F242">
        <v>44.16</v>
      </c>
      <c r="G242" t="str">
        <f>HYPERLINK("https://www.ncbi.nlm.nih.gov/nucleotide/CP010980.1?report=genbank&amp;log$=nucltop&amp;blast_rank=35&amp;RID=2000RA06013","CP010980.1")</f>
        <v>CP010980.1</v>
      </c>
    </row>
    <row r="243" spans="1:7" x14ac:dyDescent="0.35">
      <c r="A243" t="s">
        <v>251</v>
      </c>
      <c r="B243">
        <v>151</v>
      </c>
      <c r="C243">
        <v>151</v>
      </c>
      <c r="D243" s="2">
        <v>0.8</v>
      </c>
      <c r="E243" s="3">
        <v>1.0000000000000001E-37</v>
      </c>
      <c r="F243">
        <v>44.16</v>
      </c>
      <c r="G243" t="str">
        <f>HYPERLINK("https://www.ncbi.nlm.nih.gov/nucleotide/CP009075.1?report=genbank&amp;log$=nucltop&amp;blast_rank=36&amp;RID=2000RA06013","CP009075.1")</f>
        <v>CP009075.1</v>
      </c>
    </row>
    <row r="244" spans="1:7" x14ac:dyDescent="0.35">
      <c r="A244" t="s">
        <v>236</v>
      </c>
      <c r="B244">
        <v>135</v>
      </c>
      <c r="C244">
        <v>135</v>
      </c>
      <c r="D244" s="2">
        <v>0.8</v>
      </c>
      <c r="E244" s="3">
        <v>9.0000000000000008E-34</v>
      </c>
      <c r="F244">
        <v>44.16</v>
      </c>
      <c r="G244" t="str">
        <f>HYPERLINK("https://www.ncbi.nlm.nih.gov/nucleotide/XM_003649649.1?report=genbank&amp;log$=nucltop&amp;blast_rank=37&amp;RID=2000RA06013","XM_003649649.1")</f>
        <v>XM_003649649.1</v>
      </c>
    </row>
    <row r="245" spans="1:7" x14ac:dyDescent="0.35">
      <c r="A245" t="s">
        <v>242</v>
      </c>
      <c r="B245">
        <v>150</v>
      </c>
      <c r="C245">
        <v>150</v>
      </c>
      <c r="D245" s="2">
        <v>0.8</v>
      </c>
      <c r="E245" s="3">
        <v>1.9999999999999999E-40</v>
      </c>
      <c r="F245">
        <v>44.1</v>
      </c>
      <c r="G245" t="str">
        <f>HYPERLINK("https://www.ncbi.nlm.nih.gov/nucleotide/XM_007295640.1?report=genbank&amp;log$=nucltop&amp;blast_rank=38&amp;RID=2000RA06013","XM_007295640.1")</f>
        <v>XM_007295640.1</v>
      </c>
    </row>
    <row r="246" spans="1:7" x14ac:dyDescent="0.35">
      <c r="A246" t="s">
        <v>237</v>
      </c>
      <c r="B246">
        <v>137</v>
      </c>
      <c r="C246">
        <v>137</v>
      </c>
      <c r="D246" s="2">
        <v>0.75</v>
      </c>
      <c r="E246" s="3">
        <v>8.9999999999999998E-33</v>
      </c>
      <c r="F246">
        <v>44.02</v>
      </c>
      <c r="G246" t="str">
        <f>HYPERLINK("https://www.ncbi.nlm.nih.gov/nucleotide/MG777491.1?report=genbank&amp;log$=nucltop&amp;blast_rank=39&amp;RID=2000RA06013","MG777491.1")</f>
        <v>MG777491.1</v>
      </c>
    </row>
    <row r="247" spans="1:7" x14ac:dyDescent="0.35">
      <c r="A247" t="s">
        <v>254</v>
      </c>
      <c r="B247">
        <v>154</v>
      </c>
      <c r="C247">
        <v>154</v>
      </c>
      <c r="D247" s="2">
        <v>0.81</v>
      </c>
      <c r="E247" s="3">
        <v>7.0000000000000004E-42</v>
      </c>
      <c r="F247">
        <v>43.94</v>
      </c>
      <c r="G247" t="str">
        <f>HYPERLINK("https://www.ncbi.nlm.nih.gov/nucleotide/XM_018276579.1?report=genbank&amp;log$=nucltop&amp;blast_rank=40&amp;RID=2000RA06013","XM_018276579.1")</f>
        <v>XM_018276579.1</v>
      </c>
    </row>
    <row r="248" spans="1:7" x14ac:dyDescent="0.35">
      <c r="A248" t="s">
        <v>238</v>
      </c>
      <c r="B248">
        <v>143</v>
      </c>
      <c r="C248">
        <v>143</v>
      </c>
      <c r="D248" s="2">
        <v>0.81</v>
      </c>
      <c r="E248" s="3">
        <v>9.9999999999999994E-37</v>
      </c>
      <c r="F248">
        <v>43.94</v>
      </c>
      <c r="G248" t="str">
        <f>HYPERLINK("https://www.ncbi.nlm.nih.gov/nucleotide/XM_018328867.1?report=genbank&amp;log$=nucltop&amp;blast_rank=41&amp;RID=2000RA06013","XM_018328867.1")</f>
        <v>XM_018328867.1</v>
      </c>
    </row>
    <row r="249" spans="1:7" x14ac:dyDescent="0.35">
      <c r="A249" t="s">
        <v>239</v>
      </c>
      <c r="B249">
        <v>150</v>
      </c>
      <c r="C249">
        <v>150</v>
      </c>
      <c r="D249" s="2">
        <v>0.8</v>
      </c>
      <c r="E249" s="3">
        <v>3E-37</v>
      </c>
      <c r="F249">
        <v>43.88</v>
      </c>
      <c r="G249" t="str">
        <f>HYPERLINK("https://www.ncbi.nlm.nih.gov/nucleotide/AL451013.1?report=genbank&amp;log$=nucltop&amp;blast_rank=42&amp;RID=2000RA06013","AL451013.1")</f>
        <v>AL451013.1</v>
      </c>
    </row>
    <row r="250" spans="1:7" x14ac:dyDescent="0.35">
      <c r="A250" t="s">
        <v>253</v>
      </c>
      <c r="B250">
        <v>150</v>
      </c>
      <c r="C250">
        <v>150</v>
      </c>
      <c r="D250" s="2">
        <v>0.82</v>
      </c>
      <c r="E250" s="3">
        <v>3.9999999999999997E-39</v>
      </c>
      <c r="F250">
        <v>43.5</v>
      </c>
      <c r="G250" t="str">
        <f>HYPERLINK("https://www.ncbi.nlm.nih.gov/nucleotide/XM_033719977.1?report=genbank&amp;log$=nucltop&amp;blast_rank=43&amp;RID=2000RA06013","XM_033719977.1")</f>
        <v>XM_033719977.1</v>
      </c>
    </row>
    <row r="251" spans="1:7" x14ac:dyDescent="0.35">
      <c r="A251" t="s">
        <v>244</v>
      </c>
      <c r="B251">
        <v>147</v>
      </c>
      <c r="C251">
        <v>147</v>
      </c>
      <c r="D251" s="2">
        <v>0.81</v>
      </c>
      <c r="E251" s="3">
        <v>3.0000000000000003E-39</v>
      </c>
      <c r="F251">
        <v>43.43</v>
      </c>
      <c r="G251" t="str">
        <f>HYPERLINK("https://www.ncbi.nlm.nih.gov/nucleotide/XM_008081488.1?report=genbank&amp;log$=nucltop&amp;blast_rank=44&amp;RID=2000RA06013","XM_008081488.1")</f>
        <v>XM_008081488.1</v>
      </c>
    </row>
    <row r="252" spans="1:7" x14ac:dyDescent="0.35">
      <c r="A252" t="s">
        <v>246</v>
      </c>
      <c r="B252">
        <v>147</v>
      </c>
      <c r="C252">
        <v>147</v>
      </c>
      <c r="D252" s="2">
        <v>0.81</v>
      </c>
      <c r="E252" s="3">
        <v>9.9999999999999996E-39</v>
      </c>
      <c r="F252">
        <v>43.22</v>
      </c>
      <c r="G252" t="str">
        <f>HYPERLINK("https://www.ncbi.nlm.nih.gov/nucleotide/XM_009850061.1?report=genbank&amp;log$=nucltop&amp;blast_rank=45&amp;RID=2000RA06013","XM_009850061.1")</f>
        <v>XM_009850061.1</v>
      </c>
    </row>
    <row r="253" spans="1:7" x14ac:dyDescent="0.35">
      <c r="A253" t="s">
        <v>213</v>
      </c>
      <c r="B253">
        <v>151</v>
      </c>
      <c r="C253">
        <v>151</v>
      </c>
      <c r="D253" s="2">
        <v>0.82</v>
      </c>
      <c r="E253" s="3">
        <v>9.9999999999999993E-41</v>
      </c>
      <c r="F253">
        <v>43.07</v>
      </c>
      <c r="G253" t="str">
        <f>HYPERLINK("https://www.ncbi.nlm.nih.gov/nucleotide/XM_037299585.1?report=genbank&amp;log$=nucltop&amp;blast_rank=46&amp;RID=2000RA06013","XM_037299585.1")</f>
        <v>XM_037299585.1</v>
      </c>
    </row>
    <row r="254" spans="1:7" x14ac:dyDescent="0.35">
      <c r="A254" t="s">
        <v>214</v>
      </c>
      <c r="B254">
        <v>150</v>
      </c>
      <c r="C254">
        <v>150</v>
      </c>
      <c r="D254" s="2">
        <v>0.82</v>
      </c>
      <c r="E254" s="3">
        <v>1.9999999999999999E-40</v>
      </c>
      <c r="F254">
        <v>43.07</v>
      </c>
      <c r="G254" t="str">
        <f>HYPERLINK("https://www.ncbi.nlm.nih.gov/nucleotide/XM_037307991.1?report=genbank&amp;log$=nucltop&amp;blast_rank=47&amp;RID=2000RA06013","XM_037307991.1")</f>
        <v>XM_037307991.1</v>
      </c>
    </row>
    <row r="255" spans="1:7" x14ac:dyDescent="0.35">
      <c r="A255" t="s">
        <v>247</v>
      </c>
      <c r="B255">
        <v>154</v>
      </c>
      <c r="C255">
        <v>154</v>
      </c>
      <c r="D255" s="2">
        <v>0.82</v>
      </c>
      <c r="E255" s="3">
        <v>6.0000000000000004E-40</v>
      </c>
      <c r="F255">
        <v>43</v>
      </c>
      <c r="G255" t="str">
        <f>HYPERLINK("https://www.ncbi.nlm.nih.gov/nucleotide/XM_033744228.1?report=genbank&amp;log$=nucltop&amp;blast_rank=48&amp;RID=2000RA06013","XM_033744228.1")</f>
        <v>XM_033744228.1</v>
      </c>
    </row>
    <row r="256" spans="1:7" x14ac:dyDescent="0.35">
      <c r="A256" t="s">
        <v>218</v>
      </c>
      <c r="B256">
        <v>152</v>
      </c>
      <c r="C256">
        <v>152</v>
      </c>
      <c r="D256" s="2">
        <v>0.8</v>
      </c>
      <c r="E256" s="3">
        <v>4.9999999999999996E-41</v>
      </c>
      <c r="F256">
        <v>42.86</v>
      </c>
      <c r="G256" t="str">
        <f>HYPERLINK("https://www.ncbi.nlm.nih.gov/nucleotide/XM_033831227.1?report=genbank&amp;log$=nucltop&amp;blast_rank=49&amp;RID=2000RA06013","XM_033831227.1")</f>
        <v>XM_033831227.1</v>
      </c>
    </row>
    <row r="257" spans="1:7" x14ac:dyDescent="0.35">
      <c r="A257" t="s">
        <v>248</v>
      </c>
      <c r="B257">
        <v>139</v>
      </c>
      <c r="C257">
        <v>139</v>
      </c>
      <c r="D257" s="2">
        <v>0.82</v>
      </c>
      <c r="E257" s="3">
        <v>4E-35</v>
      </c>
      <c r="F257">
        <v>42.79</v>
      </c>
      <c r="G257" t="str">
        <f>HYPERLINK("https://www.ncbi.nlm.nih.gov/nucleotide/XM_007930639.1?report=genbank&amp;log$=nucltop&amp;blast_rank=50&amp;RID=2000RA06013","XM_007930639.1")</f>
        <v>XM_007930639.1</v>
      </c>
    </row>
    <row r="258" spans="1:7" x14ac:dyDescent="0.35">
      <c r="A258" t="s">
        <v>221</v>
      </c>
      <c r="B258">
        <v>130</v>
      </c>
      <c r="C258">
        <v>130</v>
      </c>
      <c r="D258" s="2">
        <v>0.81</v>
      </c>
      <c r="E258" s="3">
        <v>2.0000000000000001E-32</v>
      </c>
      <c r="F258">
        <v>42.79</v>
      </c>
      <c r="G258" t="str">
        <f>HYPERLINK("https://www.ncbi.nlm.nih.gov/nucleotide/XM_022538922.1?report=genbank&amp;log$=nucltop&amp;blast_rank=51&amp;RID=2000RA06013","XM_022538922.1")</f>
        <v>XM_022538922.1</v>
      </c>
    </row>
    <row r="259" spans="1:7" x14ac:dyDescent="0.35">
      <c r="A259" t="s">
        <v>252</v>
      </c>
      <c r="B259">
        <v>145</v>
      </c>
      <c r="C259">
        <v>145</v>
      </c>
      <c r="D259" s="2">
        <v>0.83</v>
      </c>
      <c r="E259" s="3">
        <v>2.9999999999999999E-38</v>
      </c>
      <c r="F259">
        <v>42.57</v>
      </c>
      <c r="G259" t="str">
        <f>HYPERLINK("https://www.ncbi.nlm.nih.gov/nucleotide/XM_018174954.1?report=genbank&amp;log$=nucltop&amp;blast_rank=52&amp;RID=2000RA06013","XM_018174954.1")</f>
        <v>XM_018174954.1</v>
      </c>
    </row>
    <row r="260" spans="1:7" x14ac:dyDescent="0.35">
      <c r="A260" t="s">
        <v>255</v>
      </c>
      <c r="B260">
        <v>149</v>
      </c>
      <c r="C260">
        <v>149</v>
      </c>
      <c r="D260" s="2">
        <v>0.8</v>
      </c>
      <c r="E260" s="3">
        <v>5.9999999999999998E-38</v>
      </c>
      <c r="F260">
        <v>42.35</v>
      </c>
      <c r="G260" t="str">
        <f>HYPERLINK("https://www.ncbi.nlm.nih.gov/nucleotide/XM_033533880.1?report=genbank&amp;log$=nucltop&amp;blast_rank=53&amp;RID=2000RA06013","XM_033533880.1")</f>
        <v>XM_033533880.1</v>
      </c>
    </row>
    <row r="261" spans="1:7" x14ac:dyDescent="0.35">
      <c r="A261" s="4" t="s">
        <v>734</v>
      </c>
      <c r="B261" s="4">
        <v>132</v>
      </c>
      <c r="C261" s="4">
        <v>132</v>
      </c>
      <c r="D261" s="5">
        <v>0.8</v>
      </c>
      <c r="E261" s="6">
        <v>4.0000000000000002E-32</v>
      </c>
      <c r="F261" s="4">
        <v>42.35</v>
      </c>
      <c r="G261" s="4" t="str">
        <f>HYPERLINK("https://www.ncbi.nlm.nih.gov/nucleotide/XM_012358740.1?report=genbank&amp;log$=nucltop&amp;blast_rank=54&amp;RID=2000RA06013","XM_012358740.1")</f>
        <v>XM_012358740.1</v>
      </c>
    </row>
    <row r="262" spans="1:7" x14ac:dyDescent="0.35">
      <c r="A262" t="s">
        <v>258</v>
      </c>
      <c r="B262">
        <v>147</v>
      </c>
      <c r="C262">
        <v>147</v>
      </c>
      <c r="D262" s="2">
        <v>0.81</v>
      </c>
      <c r="E262" s="3">
        <v>1.9999999999999999E-39</v>
      </c>
      <c r="F262">
        <v>42.05</v>
      </c>
      <c r="G262" t="str">
        <f>HYPERLINK("https://www.ncbi.nlm.nih.gov/nucleotide/XM_019169675.1?report=genbank&amp;log$=nucltop&amp;blast_rank=55&amp;RID=2000RA06013","XM_019169675.1")</f>
        <v>XM_019169675.1</v>
      </c>
    </row>
    <row r="263" spans="1:7" x14ac:dyDescent="0.35">
      <c r="A263" t="s">
        <v>262</v>
      </c>
      <c r="B263">
        <v>133</v>
      </c>
      <c r="C263">
        <v>133</v>
      </c>
      <c r="D263" s="2">
        <v>0.8</v>
      </c>
      <c r="E263" s="3">
        <v>2.0000000000000001E-32</v>
      </c>
      <c r="F263">
        <v>42.05</v>
      </c>
      <c r="G263" t="str">
        <f>HYPERLINK("https://www.ncbi.nlm.nih.gov/nucleotide/XM_024881431.1?report=genbank&amp;log$=nucltop&amp;blast_rank=56&amp;RID=2000RA06013","XM_024881431.1")</f>
        <v>XM_024881431.1</v>
      </c>
    </row>
    <row r="264" spans="1:7" x14ac:dyDescent="0.35">
      <c r="A264" t="s">
        <v>139</v>
      </c>
      <c r="B264">
        <v>143</v>
      </c>
      <c r="C264">
        <v>143</v>
      </c>
      <c r="D264" s="2">
        <v>0.81</v>
      </c>
      <c r="E264" s="3">
        <v>2E-35</v>
      </c>
      <c r="F264">
        <v>41.92</v>
      </c>
      <c r="G264" t="str">
        <f>HYPERLINK("https://www.ncbi.nlm.nih.gov/nucleotide/XM_016366306.1?report=genbank&amp;log$=nucltop&amp;blast_rank=57&amp;RID=2000RA06013","XM_016366306.1")</f>
        <v>XM_016366306.1</v>
      </c>
    </row>
    <row r="265" spans="1:7" x14ac:dyDescent="0.35">
      <c r="A265" t="s">
        <v>176</v>
      </c>
      <c r="B265">
        <v>134</v>
      </c>
      <c r="C265">
        <v>134</v>
      </c>
      <c r="D265" s="2">
        <v>0.8</v>
      </c>
      <c r="E265" s="3">
        <v>1.0000000000000001E-33</v>
      </c>
      <c r="F265">
        <v>41.92</v>
      </c>
      <c r="G265" t="str">
        <f>HYPERLINK("https://www.ncbi.nlm.nih.gov/nucleotide/XM_003006183.1?report=genbank&amp;log$=nucltop&amp;blast_rank=58&amp;RID=2000RA06013","XM_003006183.1")</f>
        <v>XM_003006183.1</v>
      </c>
    </row>
    <row r="266" spans="1:7" x14ac:dyDescent="0.35">
      <c r="A266" t="s">
        <v>735</v>
      </c>
      <c r="B266">
        <v>130</v>
      </c>
      <c r="C266">
        <v>130</v>
      </c>
      <c r="D266" s="2">
        <v>0.8</v>
      </c>
      <c r="E266" s="3">
        <v>3E-32</v>
      </c>
      <c r="F266">
        <v>41.84</v>
      </c>
      <c r="G266" t="str">
        <f>HYPERLINK("https://www.ncbi.nlm.nih.gov/nucleotide/XM_003066843.1?report=genbank&amp;log$=nucltop&amp;blast_rank=59&amp;RID=2000RA06013","XM_003066843.1")</f>
        <v>XM_003066843.1</v>
      </c>
    </row>
    <row r="267" spans="1:7" x14ac:dyDescent="0.35">
      <c r="A267" s="4" t="s">
        <v>257</v>
      </c>
      <c r="B267" s="4">
        <v>140</v>
      </c>
      <c r="C267" s="4">
        <v>140</v>
      </c>
      <c r="D267" s="5">
        <v>0.82</v>
      </c>
      <c r="E267" s="6">
        <v>9.0000000000000005E-36</v>
      </c>
      <c r="F267" s="4">
        <v>41.79</v>
      </c>
      <c r="G267" s="4" t="str">
        <f>HYPERLINK("https://www.ncbi.nlm.nih.gov/nucleotide/XM_003851169.1?report=genbank&amp;log$=nucltop&amp;blast_rank=60&amp;RID=2000RA06013","XM_003851169.1")</f>
        <v>XM_003851169.1</v>
      </c>
    </row>
    <row r="268" spans="1:7" x14ac:dyDescent="0.35">
      <c r="A268" t="s">
        <v>261</v>
      </c>
      <c r="B268">
        <v>133</v>
      </c>
      <c r="C268">
        <v>133</v>
      </c>
      <c r="D268" s="2">
        <v>0.82</v>
      </c>
      <c r="E268" s="3">
        <v>9.0000000000000008E-34</v>
      </c>
      <c r="F268">
        <v>41.79</v>
      </c>
      <c r="G268" t="str">
        <f>HYPERLINK("https://www.ncbi.nlm.nih.gov/nucleotide/XM_007836483.1?report=genbank&amp;log$=nucltop&amp;blast_rank=61&amp;RID=2000RA06013","XM_007836483.1")</f>
        <v>XM_007836483.1</v>
      </c>
    </row>
    <row r="269" spans="1:7" x14ac:dyDescent="0.35">
      <c r="A269" t="s">
        <v>211</v>
      </c>
      <c r="B269">
        <v>134</v>
      </c>
      <c r="C269">
        <v>134</v>
      </c>
      <c r="D269" s="2">
        <v>0.81</v>
      </c>
      <c r="E269" s="3">
        <v>3.9999999999999997E-34</v>
      </c>
      <c r="F269">
        <v>41.71</v>
      </c>
      <c r="G269" t="str">
        <f>HYPERLINK("https://www.ncbi.nlm.nih.gov/nucleotide/XM_014093215.1?report=genbank&amp;log$=nucltop&amp;blast_rank=62&amp;RID=2000RA06013","XM_014093215.1")</f>
        <v>XM_014093215.1</v>
      </c>
    </row>
    <row r="270" spans="1:7" x14ac:dyDescent="0.35">
      <c r="A270" t="s">
        <v>148</v>
      </c>
      <c r="B270">
        <v>134</v>
      </c>
      <c r="C270">
        <v>134</v>
      </c>
      <c r="D270" s="2">
        <v>0.81</v>
      </c>
      <c r="E270" s="3">
        <v>1.0000000000000001E-33</v>
      </c>
      <c r="F270">
        <v>41.62</v>
      </c>
      <c r="G270" t="str">
        <f>HYPERLINK("https://www.ncbi.nlm.nih.gov/nucleotide/XM_016758299.1?report=genbank&amp;log$=nucltop&amp;blast_rank=63&amp;RID=2000RA06013","XM_016758299.1")</f>
        <v>XM_016758299.1</v>
      </c>
    </row>
    <row r="271" spans="1:7" x14ac:dyDescent="0.35">
      <c r="A271" t="s">
        <v>219</v>
      </c>
      <c r="B271">
        <v>135</v>
      </c>
      <c r="C271">
        <v>135</v>
      </c>
      <c r="D271" s="2">
        <v>0.8</v>
      </c>
      <c r="E271" s="3">
        <v>2.0000000000000001E-32</v>
      </c>
      <c r="F271">
        <v>41.54</v>
      </c>
      <c r="G271" t="str">
        <f>HYPERLINK("https://www.ncbi.nlm.nih.gov/nucleotide/XM_016407075.1?report=genbank&amp;log$=nucltop&amp;blast_rank=64&amp;RID=2000RA06013","XM_016407075.1")</f>
        <v>XM_016407075.1</v>
      </c>
    </row>
    <row r="272" spans="1:7" x14ac:dyDescent="0.35">
      <c r="A272" t="s">
        <v>216</v>
      </c>
      <c r="B272">
        <v>131</v>
      </c>
      <c r="C272">
        <v>131</v>
      </c>
      <c r="D272" s="2">
        <v>0.82</v>
      </c>
      <c r="E272" s="3">
        <v>5.0000000000000003E-33</v>
      </c>
      <c r="F272">
        <v>41.5</v>
      </c>
      <c r="G272" t="str">
        <f>HYPERLINK("https://www.ncbi.nlm.nih.gov/nucleotide/XM_024034823.1?report=genbank&amp;log$=nucltop&amp;blast_rank=65&amp;RID=2000RA06013","XM_024034823.1")</f>
        <v>XM_024034823.1</v>
      </c>
    </row>
    <row r="273" spans="1:7" x14ac:dyDescent="0.35">
      <c r="A273" t="s">
        <v>1072</v>
      </c>
      <c r="B273">
        <v>136</v>
      </c>
      <c r="C273">
        <v>136</v>
      </c>
      <c r="D273" s="2">
        <v>0.77</v>
      </c>
      <c r="E273" s="3">
        <v>2.0000000000000001E-32</v>
      </c>
      <c r="F273">
        <v>41.49</v>
      </c>
      <c r="G273" t="str">
        <f>HYPERLINK("https://www.ncbi.nlm.nih.gov/nucleotide/CP034378.1?report=genbank&amp;log$=nucltop&amp;blast_rank=66&amp;RID=2000RA06013","CP034378.1")</f>
        <v>CP034378.1</v>
      </c>
    </row>
    <row r="274" spans="1:7" x14ac:dyDescent="0.35">
      <c r="A274" t="s">
        <v>273</v>
      </c>
      <c r="B274">
        <v>139</v>
      </c>
      <c r="C274">
        <v>139</v>
      </c>
      <c r="D274" s="2">
        <v>0.81</v>
      </c>
      <c r="E274" s="3">
        <v>7.9999999999999995E-36</v>
      </c>
      <c r="F274">
        <v>41.41</v>
      </c>
      <c r="G274" t="str">
        <f>HYPERLINK("https://www.ncbi.nlm.nih.gov/nucleotide/XM_007788590.1?report=genbank&amp;log$=nucltop&amp;blast_rank=67&amp;RID=2000RA06013","XM_007788590.1")</f>
        <v>XM_007788590.1</v>
      </c>
    </row>
    <row r="275" spans="1:7" x14ac:dyDescent="0.35">
      <c r="A275" t="s">
        <v>938</v>
      </c>
      <c r="B275">
        <v>129</v>
      </c>
      <c r="C275">
        <v>129</v>
      </c>
      <c r="D275" s="2">
        <v>0.75</v>
      </c>
      <c r="E275" s="3">
        <v>3E-32</v>
      </c>
      <c r="F275">
        <v>41.3</v>
      </c>
      <c r="G275" t="str">
        <f>HYPERLINK("https://www.ncbi.nlm.nih.gov/nucleotide/XM_013410215.1?report=genbank&amp;log$=nucltop&amp;blast_rank=68&amp;RID=2000RA06013","XM_013410215.1")</f>
        <v>XM_013410215.1</v>
      </c>
    </row>
    <row r="276" spans="1:7" x14ac:dyDescent="0.35">
      <c r="A276" s="4" t="s">
        <v>260</v>
      </c>
      <c r="B276" s="4">
        <v>141</v>
      </c>
      <c r="C276" s="4">
        <v>141</v>
      </c>
      <c r="D276" s="5">
        <v>0.82</v>
      </c>
      <c r="E276" s="6">
        <v>8.0000000000000005E-37</v>
      </c>
      <c r="F276" s="4">
        <v>41.29</v>
      </c>
      <c r="G276" s="4" t="str">
        <f>HYPERLINK("https://www.ncbi.nlm.nih.gov/nucleotide/XM_023769316.1?report=genbank&amp;log$=nucltop&amp;blast_rank=69&amp;RID=2000RA06013","XM_023769316.1")</f>
        <v>XM_023769316.1</v>
      </c>
    </row>
    <row r="277" spans="1:7" x14ac:dyDescent="0.35">
      <c r="A277" t="s">
        <v>259</v>
      </c>
      <c r="B277">
        <v>140</v>
      </c>
      <c r="C277">
        <v>140</v>
      </c>
      <c r="D277" s="2">
        <v>0.82</v>
      </c>
      <c r="E277" s="3">
        <v>1.9999999999999999E-36</v>
      </c>
      <c r="F277">
        <v>41.29</v>
      </c>
      <c r="G277" t="str">
        <f>HYPERLINK("https://www.ncbi.nlm.nih.gov/nucleotide/XM_033805656.1?report=genbank&amp;log$=nucltop&amp;blast_rank=70&amp;RID=2000RA06013","XM_033805656.1")</f>
        <v>XM_033805656.1</v>
      </c>
    </row>
    <row r="278" spans="1:7" x14ac:dyDescent="0.35">
      <c r="A278" t="s">
        <v>147</v>
      </c>
      <c r="B278">
        <v>133</v>
      </c>
      <c r="C278">
        <v>133</v>
      </c>
      <c r="D278" s="2">
        <v>0.81</v>
      </c>
      <c r="E278" s="3">
        <v>1.0000000000000001E-33</v>
      </c>
      <c r="F278">
        <v>41.12</v>
      </c>
      <c r="G278" t="str">
        <f>HYPERLINK("https://www.ncbi.nlm.nih.gov/nucleotide/XM_007741154.1?report=genbank&amp;log$=nucltop&amp;blast_rank=71&amp;RID=2000RA06013","XM_007741154.1")</f>
        <v>XM_007741154.1</v>
      </c>
    </row>
    <row r="279" spans="1:7" x14ac:dyDescent="0.35">
      <c r="A279" t="s">
        <v>612</v>
      </c>
      <c r="B279">
        <v>132</v>
      </c>
      <c r="C279">
        <v>132</v>
      </c>
      <c r="D279" s="2">
        <v>0.82</v>
      </c>
      <c r="E279" s="3">
        <v>6.9999999999999997E-34</v>
      </c>
      <c r="F279">
        <v>41.09</v>
      </c>
      <c r="G279" t="str">
        <f>HYPERLINK("https://www.ncbi.nlm.nih.gov/nucleotide/XM_013574460.1?report=genbank&amp;log$=nucltop&amp;blast_rank=72&amp;RID=2000RA06013","XM_013574460.1")</f>
        <v>XM_013574460.1</v>
      </c>
    </row>
    <row r="280" spans="1:7" x14ac:dyDescent="0.35">
      <c r="A280" t="s">
        <v>263</v>
      </c>
      <c r="B280">
        <v>136</v>
      </c>
      <c r="C280">
        <v>136</v>
      </c>
      <c r="D280" s="2">
        <v>0.82</v>
      </c>
      <c r="E280" s="3">
        <v>3.0000000000000002E-33</v>
      </c>
      <c r="F280">
        <v>41.09</v>
      </c>
      <c r="G280" t="str">
        <f>HYPERLINK("https://www.ncbi.nlm.nih.gov/nucleotide/XM_016906615.1?report=genbank&amp;log$=nucltop&amp;blast_rank=73&amp;RID=2000RA06013","XM_016906615.1")</f>
        <v>XM_016906615.1</v>
      </c>
    </row>
    <row r="281" spans="1:7" x14ac:dyDescent="0.35">
      <c r="A281" t="s">
        <v>265</v>
      </c>
      <c r="B281">
        <v>141</v>
      </c>
      <c r="C281">
        <v>141</v>
      </c>
      <c r="D281" s="2">
        <v>0.8</v>
      </c>
      <c r="E281" s="3">
        <v>2.9999999999999999E-35</v>
      </c>
      <c r="F281">
        <v>41.03</v>
      </c>
      <c r="G281" t="str">
        <f>HYPERLINK("https://www.ncbi.nlm.nih.gov/nucleotide/XM_018215251.1?report=genbank&amp;log$=nucltop&amp;blast_rank=74&amp;RID=2000RA06013","XM_018215251.1")</f>
        <v>XM_018215251.1</v>
      </c>
    </row>
    <row r="282" spans="1:7" x14ac:dyDescent="0.35">
      <c r="A282" s="4" t="s">
        <v>267</v>
      </c>
      <c r="B282" s="4">
        <v>129</v>
      </c>
      <c r="C282" s="4">
        <v>129</v>
      </c>
      <c r="D282" s="5">
        <v>0.81</v>
      </c>
      <c r="E282" s="6">
        <v>3E-32</v>
      </c>
      <c r="F282" s="4">
        <v>40.799999999999997</v>
      </c>
      <c r="G282" s="4" t="str">
        <f>HYPERLINK("https://www.ncbi.nlm.nih.gov/nucleotide/XM_745463.1?report=genbank&amp;log$=nucltop&amp;blast_rank=75&amp;RID=2000RA06013","XM_745463.1")</f>
        <v>XM_745463.1</v>
      </c>
    </row>
    <row r="283" spans="1:7" x14ac:dyDescent="0.35">
      <c r="A283" t="s">
        <v>264</v>
      </c>
      <c r="B283">
        <v>140</v>
      </c>
      <c r="C283">
        <v>140</v>
      </c>
      <c r="D283" s="2">
        <v>0.8</v>
      </c>
      <c r="E283" s="3">
        <v>3.0000000000000002E-36</v>
      </c>
      <c r="F283">
        <v>40.51</v>
      </c>
      <c r="G283" t="str">
        <f>HYPERLINK("https://www.ncbi.nlm.nih.gov/nucleotide/XM_009154513.1?report=genbank&amp;log$=nucltop&amp;blast_rank=76&amp;RID=2000RA06013","XM_009154513.1")</f>
        <v>XM_009154513.1</v>
      </c>
    </row>
    <row r="284" spans="1:7" x14ac:dyDescent="0.35">
      <c r="A284" t="s">
        <v>191</v>
      </c>
      <c r="B284">
        <v>135</v>
      </c>
      <c r="C284">
        <v>135</v>
      </c>
      <c r="D284" s="2">
        <v>0.8</v>
      </c>
      <c r="E284" s="3">
        <v>1.9999999999999999E-34</v>
      </c>
      <c r="F284">
        <v>40.51</v>
      </c>
      <c r="G284" t="str">
        <f>HYPERLINK("https://www.ncbi.nlm.nih.gov/nucleotide/XM_016379292.1?report=genbank&amp;log$=nucltop&amp;blast_rank=77&amp;RID=2000RA06013","XM_016379292.1")</f>
        <v>XM_016379292.1</v>
      </c>
    </row>
    <row r="285" spans="1:7" x14ac:dyDescent="0.35">
      <c r="A285" t="s">
        <v>266</v>
      </c>
      <c r="B285">
        <v>139</v>
      </c>
      <c r="C285">
        <v>139</v>
      </c>
      <c r="D285" s="2">
        <v>0.85</v>
      </c>
      <c r="E285" s="3">
        <v>9.9999999999999993E-35</v>
      </c>
      <c r="F285">
        <v>40.380000000000003</v>
      </c>
      <c r="G285" t="str">
        <f>HYPERLINK("https://www.ncbi.nlm.nih.gov/nucleotide/XM_007683500.1?report=genbank&amp;log$=nucltop&amp;blast_rank=78&amp;RID=2000RA06013","XM_007683500.1")</f>
        <v>XM_007683500.1</v>
      </c>
    </row>
    <row r="286" spans="1:7" x14ac:dyDescent="0.35">
      <c r="A286" s="4" t="s">
        <v>738</v>
      </c>
      <c r="B286" s="4">
        <v>132</v>
      </c>
      <c r="C286" s="4">
        <v>132</v>
      </c>
      <c r="D286" s="5">
        <v>0.82</v>
      </c>
      <c r="E286" s="6">
        <v>2.0000000000000001E-33</v>
      </c>
      <c r="F286" s="4">
        <v>40.299999999999997</v>
      </c>
      <c r="G286" s="4" t="str">
        <f>HYPERLINK("https://www.ncbi.nlm.nih.gov/nucleotide/XM_035465282.1?report=genbank&amp;log$=nucltop&amp;blast_rank=79&amp;RID=2000RA06013","XM_035465282.1")</f>
        <v>XM_035465282.1</v>
      </c>
    </row>
    <row r="287" spans="1:7" x14ac:dyDescent="0.35">
      <c r="A287" s="4" t="s">
        <v>268</v>
      </c>
      <c r="B287" s="4">
        <v>134</v>
      </c>
      <c r="C287" s="4">
        <v>134</v>
      </c>
      <c r="D287" s="5">
        <v>0.8</v>
      </c>
      <c r="E287" s="6">
        <v>5.0000000000000003E-34</v>
      </c>
      <c r="F287" s="4">
        <v>40.200000000000003</v>
      </c>
      <c r="G287" s="4" t="str">
        <f>HYPERLINK("https://www.ncbi.nlm.nih.gov/nucleotide/XM_016742376.1?report=genbank&amp;log$=nucltop&amp;blast_rank=80&amp;RID=2000RA06013","XM_016742376.1")</f>
        <v>XM_016742376.1</v>
      </c>
    </row>
    <row r="288" spans="1:7" x14ac:dyDescent="0.35">
      <c r="A288" s="4" t="s">
        <v>223</v>
      </c>
      <c r="B288" s="4">
        <v>129</v>
      </c>
      <c r="C288" s="4">
        <v>129</v>
      </c>
      <c r="D288" s="5">
        <v>0.81</v>
      </c>
      <c r="E288" s="6">
        <v>2.0000000000000001E-32</v>
      </c>
      <c r="F288" s="4">
        <v>40.200000000000003</v>
      </c>
      <c r="G288" s="4" t="str">
        <f>HYPERLINK("https://www.ncbi.nlm.nih.gov/nucleotide/XM_018807475.1?report=genbank&amp;log$=nucltop&amp;blast_rank=81&amp;RID=2000RA06013","XM_018807475.1")</f>
        <v>XM_018807475.1</v>
      </c>
    </row>
    <row r="289" spans="1:7" x14ac:dyDescent="0.35">
      <c r="A289" t="s">
        <v>156</v>
      </c>
      <c r="B289">
        <v>131</v>
      </c>
      <c r="C289">
        <v>131</v>
      </c>
      <c r="D289" s="2">
        <v>0.81</v>
      </c>
      <c r="E289" s="3">
        <v>1.0000000000000001E-32</v>
      </c>
      <c r="F289">
        <v>40.1</v>
      </c>
      <c r="G289" t="str">
        <f>HYPERLINK("https://www.ncbi.nlm.nih.gov/nucleotide/XM_013428902.1?report=genbank&amp;log$=nucltop&amp;blast_rank=82&amp;RID=2000RA06013","XM_013428902.1")</f>
        <v>XM_013428902.1</v>
      </c>
    </row>
    <row r="290" spans="1:7" x14ac:dyDescent="0.35">
      <c r="A290" t="s">
        <v>225</v>
      </c>
      <c r="B290">
        <v>137</v>
      </c>
      <c r="C290">
        <v>137</v>
      </c>
      <c r="D290" s="2">
        <v>0.8</v>
      </c>
      <c r="E290" s="3">
        <v>6.9999999999999999E-35</v>
      </c>
      <c r="F290">
        <v>40</v>
      </c>
      <c r="G290" t="str">
        <f>HYPERLINK("https://www.ncbi.nlm.nih.gov/nucleotide/XM_007722025.1?report=genbank&amp;log$=nucltop&amp;blast_rank=83&amp;RID=2000RA06013","XM_007722025.1")</f>
        <v>XM_007722025.1</v>
      </c>
    </row>
    <row r="291" spans="1:7" x14ac:dyDescent="0.35">
      <c r="A291" t="s">
        <v>135</v>
      </c>
      <c r="B291">
        <v>134</v>
      </c>
      <c r="C291">
        <v>134</v>
      </c>
      <c r="D291" s="2">
        <v>0.8</v>
      </c>
      <c r="E291" s="3">
        <v>5.0000000000000003E-34</v>
      </c>
      <c r="F291">
        <v>40</v>
      </c>
      <c r="G291" t="str">
        <f>HYPERLINK("https://www.ncbi.nlm.nih.gov/nucleotide/XM_007737879.1?report=genbank&amp;log$=nucltop&amp;blast_rank=84&amp;RID=2000RA06013","XM_007737879.1")</f>
        <v>XM_007737879.1</v>
      </c>
    </row>
    <row r="292" spans="1:7" x14ac:dyDescent="0.35">
      <c r="A292" t="s">
        <v>269</v>
      </c>
      <c r="B292">
        <v>144</v>
      </c>
      <c r="C292">
        <v>144</v>
      </c>
      <c r="D292" s="2">
        <v>0.8</v>
      </c>
      <c r="E292" s="3">
        <v>1.0000000000000001E-37</v>
      </c>
      <c r="F292">
        <v>39.799999999999997</v>
      </c>
      <c r="G292" t="str">
        <f>HYPERLINK("https://www.ncbi.nlm.nih.gov/nucleotide/XM_028655763.1?report=genbank&amp;log$=nucltop&amp;blast_rank=85&amp;RID=2000RA06013","XM_028655763.1")</f>
        <v>XM_028655763.1</v>
      </c>
    </row>
    <row r="293" spans="1:7" x14ac:dyDescent="0.35">
      <c r="A293" t="s">
        <v>270</v>
      </c>
      <c r="B293">
        <v>144</v>
      </c>
      <c r="C293">
        <v>144</v>
      </c>
      <c r="D293" s="2">
        <v>0.8</v>
      </c>
      <c r="E293" s="3">
        <v>1.0000000000000001E-37</v>
      </c>
      <c r="F293">
        <v>39.799999999999997</v>
      </c>
      <c r="G293" t="str">
        <f>HYPERLINK("https://www.ncbi.nlm.nih.gov/nucleotide/XM_018534397.1?report=genbank&amp;log$=nucltop&amp;blast_rank=86&amp;RID=2000RA06013","XM_018534397.1")</f>
        <v>XM_018534397.1</v>
      </c>
    </row>
    <row r="294" spans="1:7" x14ac:dyDescent="0.35">
      <c r="A294" s="4" t="s">
        <v>838</v>
      </c>
      <c r="B294" s="4">
        <v>144</v>
      </c>
      <c r="C294" s="4">
        <v>144</v>
      </c>
      <c r="D294" s="5">
        <v>0.8</v>
      </c>
      <c r="E294" s="6">
        <v>1.0000000000000001E-37</v>
      </c>
      <c r="F294" s="4">
        <v>39.799999999999997</v>
      </c>
      <c r="G294" s="4" t="str">
        <f>HYPERLINK("https://www.ncbi.nlm.nih.gov/nucleotide/XM_038932773.1?report=genbank&amp;log$=nucltop&amp;blast_rank=87&amp;RID=2000RA06013","XM_038932773.1")</f>
        <v>XM_038932773.1</v>
      </c>
    </row>
    <row r="295" spans="1:7" x14ac:dyDescent="0.35">
      <c r="A295" t="s">
        <v>271</v>
      </c>
      <c r="B295">
        <v>132</v>
      </c>
      <c r="C295">
        <v>132</v>
      </c>
      <c r="D295" s="2">
        <v>0.8</v>
      </c>
      <c r="E295" s="3">
        <v>2.0000000000000001E-33</v>
      </c>
      <c r="F295">
        <v>39.700000000000003</v>
      </c>
      <c r="G295" t="str">
        <f>HYPERLINK("https://www.ncbi.nlm.nih.gov/nucleotide/XM_014675514.1?report=genbank&amp;log$=nucltop&amp;blast_rank=88&amp;RID=2000RA06013","XM_014675514.1")</f>
        <v>XM_014675514.1</v>
      </c>
    </row>
    <row r="296" spans="1:7" x14ac:dyDescent="0.35">
      <c r="A296" t="s">
        <v>272</v>
      </c>
      <c r="B296">
        <v>139</v>
      </c>
      <c r="C296">
        <v>139</v>
      </c>
      <c r="D296" s="2">
        <v>0.82</v>
      </c>
      <c r="E296" s="3">
        <v>1E-35</v>
      </c>
      <c r="F296">
        <v>39.6</v>
      </c>
      <c r="G296" t="str">
        <f>HYPERLINK("https://www.ncbi.nlm.nih.gov/nucleotide/XM_001911327.1?report=genbank&amp;log$=nucltop&amp;blast_rank=89&amp;RID=2000RA06013","XM_001911327.1")</f>
        <v>XM_001911327.1</v>
      </c>
    </row>
    <row r="297" spans="1:7" x14ac:dyDescent="0.35">
      <c r="A297" t="s">
        <v>226</v>
      </c>
      <c r="B297">
        <v>131</v>
      </c>
      <c r="C297">
        <v>131</v>
      </c>
      <c r="D297" s="2">
        <v>0.81</v>
      </c>
      <c r="E297" s="3">
        <v>1.0000000000000001E-32</v>
      </c>
      <c r="F297">
        <v>39.590000000000003</v>
      </c>
      <c r="G297" t="str">
        <f>HYPERLINK("https://www.ncbi.nlm.nih.gov/nucleotide/XM_022653627.1?report=genbank&amp;log$=nucltop&amp;blast_rank=90&amp;RID=2000RA06013","XM_022653627.1")</f>
        <v>XM_022653627.1</v>
      </c>
    </row>
    <row r="298" spans="1:7" x14ac:dyDescent="0.35">
      <c r="A298" t="s">
        <v>227</v>
      </c>
      <c r="B298">
        <v>130</v>
      </c>
      <c r="C298">
        <v>130</v>
      </c>
      <c r="D298" s="2">
        <v>0.81</v>
      </c>
      <c r="E298" s="3">
        <v>3E-32</v>
      </c>
      <c r="F298">
        <v>39.590000000000003</v>
      </c>
      <c r="G298" t="str">
        <f>HYPERLINK("https://www.ncbi.nlm.nih.gov/nucleotide/XM_022645436.1?report=genbank&amp;log$=nucltop&amp;blast_rank=91&amp;RID=2000RA06013","XM_022645436.1")</f>
        <v>XM_022645436.1</v>
      </c>
    </row>
    <row r="299" spans="1:7" x14ac:dyDescent="0.35">
      <c r="A299" t="s">
        <v>274</v>
      </c>
      <c r="B299">
        <v>142</v>
      </c>
      <c r="C299">
        <v>142</v>
      </c>
      <c r="D299" s="2">
        <v>0.8</v>
      </c>
      <c r="E299" s="3">
        <v>6E-37</v>
      </c>
      <c r="F299">
        <v>39.29</v>
      </c>
      <c r="G299" t="str">
        <f>HYPERLINK("https://www.ncbi.nlm.nih.gov/nucleotide/XM_008033263.1?report=genbank&amp;log$=nucltop&amp;blast_rank=92&amp;RID=2000RA06013","XM_008033263.1")</f>
        <v>XM_008033263.1</v>
      </c>
    </row>
    <row r="300" spans="1:7" x14ac:dyDescent="0.35">
      <c r="A300" t="s">
        <v>277</v>
      </c>
      <c r="B300">
        <v>140</v>
      </c>
      <c r="C300">
        <v>140</v>
      </c>
      <c r="D300" s="2">
        <v>0.84</v>
      </c>
      <c r="E300" s="3">
        <v>4E-35</v>
      </c>
      <c r="F300">
        <v>38.83</v>
      </c>
      <c r="G300" t="str">
        <f>HYPERLINK("https://www.ncbi.nlm.nih.gov/nucleotide/XM_033803268.1?report=genbank&amp;log$=nucltop&amp;blast_rank=93&amp;RID=2000RA06013","XM_033803268.1")</f>
        <v>XM_033803268.1</v>
      </c>
    </row>
    <row r="301" spans="1:7" x14ac:dyDescent="0.35">
      <c r="A301" t="s">
        <v>275</v>
      </c>
      <c r="B301">
        <v>130</v>
      </c>
      <c r="C301">
        <v>130</v>
      </c>
      <c r="D301" s="2">
        <v>0.8</v>
      </c>
      <c r="E301" s="3">
        <v>8.0000000000000004E-33</v>
      </c>
      <c r="F301">
        <v>38.69</v>
      </c>
      <c r="G301" t="str">
        <f>HYPERLINK("https://www.ncbi.nlm.nih.gov/nucleotide/XM_002560097.1?report=genbank&amp;log$=nucltop&amp;blast_rank=94&amp;RID=2000RA06013","XM_002560097.1")</f>
        <v>XM_002560097.1</v>
      </c>
    </row>
    <row r="302" spans="1:7" x14ac:dyDescent="0.35">
      <c r="A302" t="s">
        <v>276</v>
      </c>
      <c r="B302">
        <v>129</v>
      </c>
      <c r="C302">
        <v>129</v>
      </c>
      <c r="D302" s="2">
        <v>0.82</v>
      </c>
      <c r="E302" s="3">
        <v>2.0000000000000001E-32</v>
      </c>
      <c r="F302">
        <v>38.42</v>
      </c>
      <c r="G302" t="str">
        <f>HYPERLINK("https://www.ncbi.nlm.nih.gov/nucleotide/XM_024466619.1?report=genbank&amp;log$=nucltop&amp;blast_rank=95&amp;RID=2000RA06013","XM_024466619.1")</f>
        <v>XM_024466619.1</v>
      </c>
    </row>
    <row r="303" spans="1:7" x14ac:dyDescent="0.35">
      <c r="A303" t="s">
        <v>281</v>
      </c>
      <c r="B303">
        <v>138</v>
      </c>
      <c r="C303">
        <v>138</v>
      </c>
      <c r="D303" s="2">
        <v>0.8</v>
      </c>
      <c r="E303" s="3">
        <v>2.9999999999999999E-35</v>
      </c>
      <c r="F303">
        <v>38.270000000000003</v>
      </c>
      <c r="G303" t="str">
        <f>HYPERLINK("https://www.ncbi.nlm.nih.gov/nucleotide/XM_007704195.1?report=genbank&amp;log$=nucltop&amp;blast_rank=96&amp;RID=2000RA06013","XM_007704195.1")</f>
        <v>XM_007704195.1</v>
      </c>
    </row>
    <row r="304" spans="1:7" x14ac:dyDescent="0.35">
      <c r="A304" t="s">
        <v>280</v>
      </c>
      <c r="B304">
        <v>139</v>
      </c>
      <c r="C304">
        <v>139</v>
      </c>
      <c r="D304" s="2">
        <v>0.8</v>
      </c>
      <c r="E304" s="3">
        <v>9.9999999999999993E-35</v>
      </c>
      <c r="F304">
        <v>38.270000000000003</v>
      </c>
      <c r="G304" t="str">
        <f>HYPERLINK("https://www.ncbi.nlm.nih.gov/nucleotide/XM_033701610.1?report=genbank&amp;log$=nucltop&amp;blast_rank=97&amp;RID=2000RA06013","XM_033701610.1")</f>
        <v>XM_033701610.1</v>
      </c>
    </row>
    <row r="305" spans="1:7" x14ac:dyDescent="0.35">
      <c r="A305" t="s">
        <v>278</v>
      </c>
      <c r="B305">
        <v>139</v>
      </c>
      <c r="C305">
        <v>139</v>
      </c>
      <c r="D305" s="2">
        <v>0.83</v>
      </c>
      <c r="E305" s="3">
        <v>2.9999999999999999E-35</v>
      </c>
      <c r="F305">
        <v>38.119999999999997</v>
      </c>
      <c r="G305" t="str">
        <f>HYPERLINK("https://www.ncbi.nlm.nih.gov/nucleotide/XM_001933154.1?report=genbank&amp;log$=nucltop&amp;blast_rank=98&amp;RID=2000RA06013","XM_001933154.1")</f>
        <v>XM_001933154.1</v>
      </c>
    </row>
    <row r="306" spans="1:7" x14ac:dyDescent="0.35">
      <c r="A306" t="s">
        <v>950</v>
      </c>
      <c r="B306">
        <v>134</v>
      </c>
      <c r="C306">
        <v>134</v>
      </c>
      <c r="D306" s="2">
        <v>0.83</v>
      </c>
      <c r="E306" s="3">
        <v>9.0000000000000008E-34</v>
      </c>
      <c r="F306">
        <v>37.93</v>
      </c>
      <c r="G306" t="str">
        <f>HYPERLINK("https://www.ncbi.nlm.nih.gov/nucleotide/XM_003833658.1?report=genbank&amp;log$=nucltop&amp;blast_rank=99&amp;RID=2000RA06013","XM_003833658.1")</f>
        <v>XM_003833658.1</v>
      </c>
    </row>
    <row r="307" spans="1:7" x14ac:dyDescent="0.35">
      <c r="A307" t="s">
        <v>283</v>
      </c>
      <c r="B307">
        <v>131</v>
      </c>
      <c r="C307">
        <v>131</v>
      </c>
      <c r="D307" s="2">
        <v>0.83</v>
      </c>
      <c r="E307" s="3">
        <v>3.0000000000000002E-33</v>
      </c>
      <c r="F307">
        <v>34.479999999999997</v>
      </c>
      <c r="G307" t="str">
        <f>HYPERLINK("https://www.ncbi.nlm.nih.gov/nucleotide/XM_024808245.1?report=genbank&amp;log$=nucltop&amp;blast_rank=100&amp;RID=2000RA06013","XM_024808245.1")</f>
        <v>XM_024808245.1</v>
      </c>
    </row>
    <row r="308" spans="1:7" x14ac:dyDescent="0.35">
      <c r="A308" s="1" t="s">
        <v>1073</v>
      </c>
    </row>
    <row r="309" spans="1:7" x14ac:dyDescent="0.35">
      <c r="A309" s="1" t="s">
        <v>2</v>
      </c>
      <c r="B309" s="1" t="s">
        <v>3</v>
      </c>
      <c r="C309" s="1" t="s">
        <v>4</v>
      </c>
      <c r="D309" s="1" t="s">
        <v>5</v>
      </c>
      <c r="E309" s="1" t="s">
        <v>6</v>
      </c>
      <c r="F309" s="1" t="s">
        <v>7</v>
      </c>
      <c r="G309" s="1" t="s">
        <v>8</v>
      </c>
    </row>
    <row r="310" spans="1:7" x14ac:dyDescent="0.35">
      <c r="A310" t="s">
        <v>9</v>
      </c>
      <c r="B310">
        <v>75.5</v>
      </c>
      <c r="C310">
        <v>188</v>
      </c>
      <c r="D310" s="2">
        <v>0.86</v>
      </c>
      <c r="E310" s="3">
        <v>4E-14</v>
      </c>
      <c r="F310">
        <v>80.430000000000007</v>
      </c>
      <c r="G310" t="str">
        <f>HYPERLINK("https://www.ncbi.nlm.nih.gov/nucleotide/LR732079.1?report=genbank&amp;log$=nucltop&amp;blast_rank=1&amp;RID=2002GVJ2016","LR732079.1")</f>
        <v>LR732079.1</v>
      </c>
    </row>
    <row r="311" spans="1:7" x14ac:dyDescent="0.35">
      <c r="A311" s="4" t="s">
        <v>1074</v>
      </c>
      <c r="B311" s="4">
        <v>62</v>
      </c>
      <c r="C311" s="4">
        <v>62</v>
      </c>
      <c r="D311" s="5">
        <v>0.67</v>
      </c>
      <c r="E311" s="6">
        <v>3E-9</v>
      </c>
      <c r="F311" s="4">
        <v>71.790000000000006</v>
      </c>
      <c r="G311" s="4" t="str">
        <f>HYPERLINK("https://www.ncbi.nlm.nih.gov/nucleotide/XM_007383295.1?report=genbank&amp;log$=nucltop&amp;blast_rank=2&amp;RID=2002GVJ2016","XM_007383295.1")</f>
        <v>XM_007383295.1</v>
      </c>
    </row>
    <row r="312" spans="1:7" x14ac:dyDescent="0.35">
      <c r="A312" t="s">
        <v>1075</v>
      </c>
      <c r="B312">
        <v>65.099999999999994</v>
      </c>
      <c r="C312">
        <v>65.099999999999994</v>
      </c>
      <c r="D312" s="2">
        <v>0.81</v>
      </c>
      <c r="E312" s="3">
        <v>2.0000000000000001E-10</v>
      </c>
      <c r="F312">
        <v>68.09</v>
      </c>
      <c r="G312" t="str">
        <f>HYPERLINK("https://www.ncbi.nlm.nih.gov/nucleotide/LR732077.1?report=genbank&amp;log$=nucltop&amp;blast_rank=3&amp;RID=2002GVJ2016","LR732077.1")</f>
        <v>LR732077.1</v>
      </c>
    </row>
    <row r="313" spans="1:7" x14ac:dyDescent="0.35">
      <c r="A313" s="4" t="s">
        <v>1076</v>
      </c>
      <c r="B313" s="4">
        <v>52</v>
      </c>
      <c r="C313" s="4">
        <v>52</v>
      </c>
      <c r="D313" s="5">
        <v>0.67</v>
      </c>
      <c r="E313" s="6">
        <v>9.0000000000000002E-6</v>
      </c>
      <c r="F313" s="4">
        <v>56.41</v>
      </c>
      <c r="G313" s="4" t="str">
        <f>HYPERLINK("https://www.ncbi.nlm.nih.gov/nucleotide/XM_009553540.1?report=genbank&amp;log$=nucltop&amp;blast_rank=4&amp;RID=2002GVJ2016","XM_009553540.1")</f>
        <v>XM_009553540.1</v>
      </c>
    </row>
    <row r="314" spans="1:7" x14ac:dyDescent="0.35">
      <c r="A314" s="4" t="s">
        <v>1077</v>
      </c>
      <c r="B314" s="4">
        <v>48.9</v>
      </c>
      <c r="C314" s="4">
        <v>48.9</v>
      </c>
      <c r="D314" s="5">
        <v>0.7</v>
      </c>
      <c r="E314" s="6">
        <v>9.0000000000000006E-5</v>
      </c>
      <c r="F314" s="4">
        <v>56.1</v>
      </c>
      <c r="G314" s="4" t="str">
        <f>HYPERLINK("https://www.ncbi.nlm.nih.gov/nucleotide/XM_007386682.1?report=genbank&amp;log$=nucltop&amp;blast_rank=5&amp;RID=2002GVJ2016","XM_007386682.1")</f>
        <v>XM_007386682.1</v>
      </c>
    </row>
    <row r="315" spans="1:7" x14ac:dyDescent="0.35">
      <c r="A315" t="s">
        <v>1078</v>
      </c>
      <c r="B315">
        <v>48.9</v>
      </c>
      <c r="C315">
        <v>48.9</v>
      </c>
      <c r="D315" s="2">
        <v>0.7</v>
      </c>
      <c r="E315" s="3">
        <v>1E-4</v>
      </c>
      <c r="F315">
        <v>56.1</v>
      </c>
      <c r="G315" t="str">
        <f>HYPERLINK("https://www.ncbi.nlm.nih.gov/nucleotide/XM_003029216.1?report=genbank&amp;log$=nucltop&amp;blast_rank=6&amp;RID=2002GVJ2016","XM_003029216.1")</f>
        <v>XM_003029216.1</v>
      </c>
    </row>
    <row r="316" spans="1:7" x14ac:dyDescent="0.35">
      <c r="A316" t="s">
        <v>1079</v>
      </c>
      <c r="B316">
        <v>48.5</v>
      </c>
      <c r="C316">
        <v>48.5</v>
      </c>
      <c r="D316" s="2">
        <v>0.7</v>
      </c>
      <c r="E316" s="3">
        <v>2.0000000000000001E-4</v>
      </c>
      <c r="F316">
        <v>56.1</v>
      </c>
      <c r="G316" t="str">
        <f>HYPERLINK("https://www.ncbi.nlm.nih.gov/nucleotide/XM_003029621.2?report=genbank&amp;log$=nucltop&amp;blast_rank=7&amp;RID=2002GVJ2016","XM_003029621.2")</f>
        <v>XM_003029621.2</v>
      </c>
    </row>
    <row r="317" spans="1:7" x14ac:dyDescent="0.35">
      <c r="A317" t="s">
        <v>1080</v>
      </c>
      <c r="B317">
        <v>47</v>
      </c>
      <c r="C317">
        <v>47</v>
      </c>
      <c r="D317" s="2">
        <v>0.65</v>
      </c>
      <c r="E317" s="3">
        <v>5.0000000000000001E-4</v>
      </c>
      <c r="F317">
        <v>55.26</v>
      </c>
      <c r="G317" t="str">
        <f>HYPERLINK("https://www.ncbi.nlm.nih.gov/nucleotide/XM_018836645.1?report=genbank&amp;log$=nucltop&amp;blast_rank=8&amp;RID=2002GVJ2016","XM_018836645.1")</f>
        <v>XM_018836645.1</v>
      </c>
    </row>
    <row r="318" spans="1:7" x14ac:dyDescent="0.35">
      <c r="A318" t="s">
        <v>1081</v>
      </c>
      <c r="B318">
        <v>48.5</v>
      </c>
      <c r="C318">
        <v>48.5</v>
      </c>
      <c r="D318" s="2">
        <v>0.67</v>
      </c>
      <c r="E318" s="3">
        <v>1E-4</v>
      </c>
      <c r="F318">
        <v>53.85</v>
      </c>
      <c r="G318" t="str">
        <f>HYPERLINK("https://www.ncbi.nlm.nih.gov/nucleotide/XM_024478475.1?report=genbank&amp;log$=nucltop&amp;blast_rank=9&amp;RID=2002GVJ2016","XM_024478475.1")</f>
        <v>XM_024478475.1</v>
      </c>
    </row>
    <row r="319" spans="1:7" x14ac:dyDescent="0.35">
      <c r="A319" s="4" t="s">
        <v>1082</v>
      </c>
      <c r="B319" s="4">
        <v>51.6</v>
      </c>
      <c r="C319" s="4">
        <v>51.6</v>
      </c>
      <c r="D319" s="5">
        <v>0.7</v>
      </c>
      <c r="E319" s="6">
        <v>1.0000000000000001E-5</v>
      </c>
      <c r="F319" s="4">
        <v>53.66</v>
      </c>
      <c r="G319" s="4" t="str">
        <f>HYPERLINK("https://www.ncbi.nlm.nih.gov/nucleotide/MK309354.1?report=genbank&amp;log$=nucltop&amp;blast_rank=10&amp;RID=2002GVJ2016","MK309354.1")</f>
        <v>MK309354.1</v>
      </c>
    </row>
    <row r="320" spans="1:7" x14ac:dyDescent="0.35">
      <c r="A320" t="s">
        <v>1083</v>
      </c>
      <c r="B320">
        <v>48.1</v>
      </c>
      <c r="C320">
        <v>179</v>
      </c>
      <c r="D320" s="2">
        <v>0.84</v>
      </c>
      <c r="E320" s="3">
        <v>2.0000000000000001E-4</v>
      </c>
      <c r="F320">
        <v>53.66</v>
      </c>
      <c r="G320" t="str">
        <f>HYPERLINK("https://www.ncbi.nlm.nih.gov/nucleotide/CP068002.1?report=genbank&amp;log$=nucltop&amp;blast_rank=11&amp;RID=2002GVJ2016","CP068002.1")</f>
        <v>CP068002.1</v>
      </c>
    </row>
    <row r="321" spans="1:7" x14ac:dyDescent="0.35">
      <c r="A321" t="s">
        <v>1084</v>
      </c>
      <c r="B321">
        <v>43.5</v>
      </c>
      <c r="C321">
        <v>43.5</v>
      </c>
      <c r="D321" s="2">
        <v>0.7</v>
      </c>
      <c r="E321">
        <v>7.0000000000000001E-3</v>
      </c>
      <c r="F321">
        <v>53.66</v>
      </c>
      <c r="G321" t="str">
        <f>HYPERLINK("https://www.ncbi.nlm.nih.gov/nucleotide/CP068006.1?report=genbank&amp;log$=nucltop&amp;blast_rank=12&amp;RID=2002GVJ2016","CP068006.1")</f>
        <v>CP068006.1</v>
      </c>
    </row>
    <row r="322" spans="1:7" x14ac:dyDescent="0.35">
      <c r="A322" t="s">
        <v>1085</v>
      </c>
      <c r="B322">
        <v>48.1</v>
      </c>
      <c r="C322">
        <v>48.1</v>
      </c>
      <c r="D322" s="2">
        <v>0.65</v>
      </c>
      <c r="E322" s="3">
        <v>2.0000000000000001E-4</v>
      </c>
      <c r="F322">
        <v>52.63</v>
      </c>
      <c r="G322" t="str">
        <f>HYPERLINK("https://www.ncbi.nlm.nih.gov/nucleotide/XM_037362933.1?report=genbank&amp;log$=nucltop&amp;blast_rank=13&amp;RID=2002GVJ2016","XM_037362933.1")</f>
        <v>XM_037362933.1</v>
      </c>
    </row>
    <row r="323" spans="1:7" x14ac:dyDescent="0.35">
      <c r="A323" t="s">
        <v>621</v>
      </c>
      <c r="B323">
        <v>44.3</v>
      </c>
      <c r="C323">
        <v>44.3</v>
      </c>
      <c r="D323" s="2">
        <v>0.65</v>
      </c>
      <c r="E323">
        <v>4.0000000000000001E-3</v>
      </c>
      <c r="F323">
        <v>52.63</v>
      </c>
      <c r="G323" t="str">
        <f>HYPERLINK("https://www.ncbi.nlm.nih.gov/nucleotide/XM_007759305.1?report=genbank&amp;log$=nucltop&amp;blast_rank=14&amp;RID=2002GVJ2016","XM_007759305.1")</f>
        <v>XM_007759305.1</v>
      </c>
    </row>
    <row r="324" spans="1:7" x14ac:dyDescent="0.35">
      <c r="A324" t="s">
        <v>1086</v>
      </c>
      <c r="B324">
        <v>41.6</v>
      </c>
      <c r="C324">
        <v>41.6</v>
      </c>
      <c r="D324" s="2">
        <v>0.65</v>
      </c>
      <c r="E324">
        <v>4.2000000000000003E-2</v>
      </c>
      <c r="F324">
        <v>52.63</v>
      </c>
      <c r="G324" t="str">
        <f>HYPERLINK("https://www.ncbi.nlm.nih.gov/nucleotide/XM_007301540.1?report=genbank&amp;log$=nucltop&amp;blast_rank=15&amp;RID=2002GVJ2016","XM_007301540.1")</f>
        <v>XM_007301540.1</v>
      </c>
    </row>
    <row r="325" spans="1:7" x14ac:dyDescent="0.35">
      <c r="A325" t="s">
        <v>1087</v>
      </c>
      <c r="B325">
        <v>44.7</v>
      </c>
      <c r="C325">
        <v>44.7</v>
      </c>
      <c r="D325" s="2">
        <v>0.6</v>
      </c>
      <c r="E325">
        <v>3.0000000000000001E-3</v>
      </c>
      <c r="F325">
        <v>51.43</v>
      </c>
      <c r="G325" t="str">
        <f>HYPERLINK("https://www.ncbi.nlm.nih.gov/nucleotide/CP068001.1?report=genbank&amp;log$=nucltop&amp;blast_rank=16&amp;RID=2002GVJ2016","CP068001.1")</f>
        <v>CP068001.1</v>
      </c>
    </row>
    <row r="326" spans="1:7" x14ac:dyDescent="0.35">
      <c r="A326" t="s">
        <v>142</v>
      </c>
      <c r="B326">
        <v>43.9</v>
      </c>
      <c r="C326">
        <v>43.9</v>
      </c>
      <c r="D326" s="2">
        <v>0.63</v>
      </c>
      <c r="E326">
        <v>7.0000000000000001E-3</v>
      </c>
      <c r="F326">
        <v>51.35</v>
      </c>
      <c r="G326" t="str">
        <f>HYPERLINK("https://www.ncbi.nlm.nih.gov/nucleotide/XM_013411222.1?report=genbank&amp;log$=nucltop&amp;blast_rank=17&amp;RID=2002GVJ2016","XM_013411222.1")</f>
        <v>XM_013411222.1</v>
      </c>
    </row>
    <row r="327" spans="1:7" x14ac:dyDescent="0.35">
      <c r="A327" t="s">
        <v>174</v>
      </c>
      <c r="B327">
        <v>43.1</v>
      </c>
      <c r="C327">
        <v>43.1</v>
      </c>
      <c r="D327" s="2">
        <v>0.63</v>
      </c>
      <c r="E327">
        <v>1.2E-2</v>
      </c>
      <c r="F327">
        <v>51.35</v>
      </c>
      <c r="G327" t="str">
        <f>HYPERLINK("https://www.ncbi.nlm.nih.gov/nucleotide/XM_016775210.1?report=genbank&amp;log$=nucltop&amp;blast_rank=18&amp;RID=2002GVJ2016","XM_016775210.1")</f>
        <v>XM_016775210.1</v>
      </c>
    </row>
    <row r="328" spans="1:7" x14ac:dyDescent="0.35">
      <c r="A328" t="s">
        <v>1088</v>
      </c>
      <c r="B328">
        <v>43.1</v>
      </c>
      <c r="C328">
        <v>43.1</v>
      </c>
      <c r="D328" s="2">
        <v>0.63</v>
      </c>
      <c r="E328">
        <v>1.2999999999999999E-2</v>
      </c>
      <c r="F328">
        <v>51.35</v>
      </c>
      <c r="G328" t="str">
        <f>HYPERLINK("https://www.ncbi.nlm.nih.gov/nucleotide/XM_022642528.1?report=genbank&amp;log$=nucltop&amp;blast_rank=19&amp;RID=2002GVJ2016","XM_022642528.1")</f>
        <v>XM_022642528.1</v>
      </c>
    </row>
    <row r="329" spans="1:7" x14ac:dyDescent="0.35">
      <c r="A329" t="s">
        <v>156</v>
      </c>
      <c r="B329">
        <v>43.1</v>
      </c>
      <c r="C329">
        <v>43.1</v>
      </c>
      <c r="D329" s="2">
        <v>0.63</v>
      </c>
      <c r="E329">
        <v>1.2999999999999999E-2</v>
      </c>
      <c r="F329">
        <v>51.35</v>
      </c>
      <c r="G329" t="str">
        <f>HYPERLINK("https://www.ncbi.nlm.nih.gov/nucleotide/XM_013427521.1?report=genbank&amp;log$=nucltop&amp;blast_rank=20&amp;RID=2002GVJ2016","XM_013427521.1")</f>
        <v>XM_013427521.1</v>
      </c>
    </row>
    <row r="330" spans="1:7" x14ac:dyDescent="0.35">
      <c r="A330" t="s">
        <v>147</v>
      </c>
      <c r="B330">
        <v>43.1</v>
      </c>
      <c r="C330">
        <v>43.1</v>
      </c>
      <c r="D330" s="2">
        <v>0.63</v>
      </c>
      <c r="E330">
        <v>1.2999999999999999E-2</v>
      </c>
      <c r="F330">
        <v>51.35</v>
      </c>
      <c r="G330" t="str">
        <f>HYPERLINK("https://www.ncbi.nlm.nih.gov/nucleotide/XM_007751685.1?report=genbank&amp;log$=nucltop&amp;blast_rank=21&amp;RID=2002GVJ2016","XM_007751685.1")</f>
        <v>XM_007751685.1</v>
      </c>
    </row>
    <row r="331" spans="1:7" x14ac:dyDescent="0.35">
      <c r="A331" t="s">
        <v>1089</v>
      </c>
      <c r="B331">
        <v>42.7</v>
      </c>
      <c r="C331">
        <v>42.7</v>
      </c>
      <c r="D331" s="2">
        <v>0.63</v>
      </c>
      <c r="E331">
        <v>1.7000000000000001E-2</v>
      </c>
      <c r="F331">
        <v>51.35</v>
      </c>
      <c r="G331" t="str">
        <f>HYPERLINK("https://www.ncbi.nlm.nih.gov/nucleotide/XM_018840158.1?report=genbank&amp;log$=nucltop&amp;blast_rank=22&amp;RID=2002GVJ2016","XM_018840158.1")</f>
        <v>XM_018840158.1</v>
      </c>
    </row>
    <row r="332" spans="1:7" x14ac:dyDescent="0.35">
      <c r="A332" s="4" t="s">
        <v>1090</v>
      </c>
      <c r="B332" s="4">
        <v>47.4</v>
      </c>
      <c r="C332" s="4">
        <v>47.4</v>
      </c>
      <c r="D332" s="5">
        <v>0.67</v>
      </c>
      <c r="E332" s="6">
        <v>4.0000000000000002E-4</v>
      </c>
      <c r="F332" s="4">
        <v>51.28</v>
      </c>
      <c r="G332" s="4" t="str">
        <f>HYPERLINK("https://www.ncbi.nlm.nih.gov/nucleotide/AB573349.1?report=genbank&amp;log$=nucltop&amp;blast_rank=23&amp;RID=2002GVJ2016","AB573349.1")</f>
        <v>AB573349.1</v>
      </c>
    </row>
    <row r="333" spans="1:7" x14ac:dyDescent="0.35">
      <c r="A333" t="s">
        <v>1091</v>
      </c>
      <c r="B333">
        <v>45.4</v>
      </c>
      <c r="C333">
        <v>87.8</v>
      </c>
      <c r="D333" s="2">
        <v>0.7</v>
      </c>
      <c r="E333">
        <v>2E-3</v>
      </c>
      <c r="F333">
        <v>50</v>
      </c>
      <c r="G333" t="str">
        <f>HYPERLINK("https://www.ncbi.nlm.nih.gov/nucleotide/CP068004.1?report=genbank&amp;log$=nucltop&amp;blast_rank=24&amp;RID=2002GVJ2016","CP068004.1")</f>
        <v>CP068004.1</v>
      </c>
    </row>
    <row r="334" spans="1:7" x14ac:dyDescent="0.35">
      <c r="A334" t="s">
        <v>618</v>
      </c>
      <c r="B334">
        <v>43.9</v>
      </c>
      <c r="C334">
        <v>43.9</v>
      </c>
      <c r="D334" s="2">
        <v>0.65</v>
      </c>
      <c r="E334">
        <v>7.0000000000000001E-3</v>
      </c>
      <c r="F334">
        <v>50</v>
      </c>
      <c r="G334" t="str">
        <f>HYPERLINK("https://www.ncbi.nlm.nih.gov/nucleotide/XM_008727731.1?report=genbank&amp;log$=nucltop&amp;blast_rank=25&amp;RID=2002GVJ2016","XM_008727731.1")</f>
        <v>XM_008727731.1</v>
      </c>
    </row>
    <row r="335" spans="1:7" x14ac:dyDescent="0.35">
      <c r="A335" t="s">
        <v>1092</v>
      </c>
      <c r="B335">
        <v>42</v>
      </c>
      <c r="C335">
        <v>42</v>
      </c>
      <c r="D335" s="2">
        <v>0.65</v>
      </c>
      <c r="E335">
        <v>3.1E-2</v>
      </c>
      <c r="F335">
        <v>50</v>
      </c>
      <c r="G335" t="str">
        <f>HYPERLINK("https://www.ncbi.nlm.nih.gov/nucleotide/XM_035514785.1?report=genbank&amp;log$=nucltop&amp;blast_rank=26&amp;RID=2002GVJ2016","XM_035514785.1")</f>
        <v>XM_035514785.1</v>
      </c>
    </row>
    <row r="336" spans="1:7" x14ac:dyDescent="0.35">
      <c r="A336" t="s">
        <v>1093</v>
      </c>
      <c r="B336">
        <v>41.6</v>
      </c>
      <c r="C336">
        <v>41.6</v>
      </c>
      <c r="D336" s="2">
        <v>0.65</v>
      </c>
      <c r="E336">
        <v>3.5000000000000003E-2</v>
      </c>
      <c r="F336">
        <v>50</v>
      </c>
      <c r="G336" t="str">
        <f>HYPERLINK("https://www.ncbi.nlm.nih.gov/nucleotide/XM_022638032.1?report=genbank&amp;log$=nucltop&amp;blast_rank=27&amp;RID=2002GVJ2016","XM_022638032.1")</f>
        <v>XM_022638032.1</v>
      </c>
    </row>
    <row r="337" spans="1:7" x14ac:dyDescent="0.35">
      <c r="A337" s="4" t="s">
        <v>1094</v>
      </c>
      <c r="B337" s="4">
        <v>51.2</v>
      </c>
      <c r="C337" s="4">
        <v>51.2</v>
      </c>
      <c r="D337" s="5">
        <v>0.7</v>
      </c>
      <c r="E337" s="6">
        <v>2.0000000000000002E-5</v>
      </c>
      <c r="F337" s="4">
        <v>48.78</v>
      </c>
      <c r="G337" s="4" t="str">
        <f>HYPERLINK("https://www.ncbi.nlm.nih.gov/nucleotide/XM_007388772.1?report=genbank&amp;log$=nucltop&amp;blast_rank=28&amp;RID=2002GVJ2016","XM_007388772.1")</f>
        <v>XM_007388772.1</v>
      </c>
    </row>
    <row r="338" spans="1:7" x14ac:dyDescent="0.35">
      <c r="A338" s="4" t="s">
        <v>1095</v>
      </c>
      <c r="B338" s="4">
        <v>50.1</v>
      </c>
      <c r="C338" s="4">
        <v>50.1</v>
      </c>
      <c r="D338" s="5">
        <v>0.7</v>
      </c>
      <c r="E338" s="6">
        <v>3.0000000000000001E-5</v>
      </c>
      <c r="F338" s="4">
        <v>48.78</v>
      </c>
      <c r="G338" s="4" t="str">
        <f>HYPERLINK("https://www.ncbi.nlm.nih.gov/nucleotide/XM_007388773.1?report=genbank&amp;log$=nucltop&amp;blast_rank=29&amp;RID=2002GVJ2016","XM_007388773.1")</f>
        <v>XM_007388773.1</v>
      </c>
    </row>
    <row r="339" spans="1:7" x14ac:dyDescent="0.35">
      <c r="A339" s="4" t="s">
        <v>1096</v>
      </c>
      <c r="B339" s="4">
        <v>49.3</v>
      </c>
      <c r="C339" s="4">
        <v>49.3</v>
      </c>
      <c r="D339" s="5">
        <v>0.7</v>
      </c>
      <c r="E339" s="6">
        <v>8.0000000000000007E-5</v>
      </c>
      <c r="F339" s="4">
        <v>48.78</v>
      </c>
      <c r="G339" s="4" t="str">
        <f>HYPERLINK("https://www.ncbi.nlm.nih.gov/nucleotide/XM_007386719.1?report=genbank&amp;log$=nucltop&amp;blast_rank=30&amp;RID=2002GVJ2016","XM_007386719.1")</f>
        <v>XM_007386719.1</v>
      </c>
    </row>
    <row r="340" spans="1:7" x14ac:dyDescent="0.35">
      <c r="A340" s="4" t="s">
        <v>1097</v>
      </c>
      <c r="B340" s="4">
        <v>47.8</v>
      </c>
      <c r="C340" s="4">
        <v>47.8</v>
      </c>
      <c r="D340" s="5">
        <v>0.7</v>
      </c>
      <c r="E340" s="6">
        <v>2.0000000000000001E-4</v>
      </c>
      <c r="F340" s="4">
        <v>48.78</v>
      </c>
      <c r="G340" s="4" t="str">
        <f>HYPERLINK("https://www.ncbi.nlm.nih.gov/nucleotide/XM_007386726.1?report=genbank&amp;log$=nucltop&amp;blast_rank=31&amp;RID=2002GVJ2016","XM_007386726.1")</f>
        <v>XM_007386726.1</v>
      </c>
    </row>
    <row r="341" spans="1:7" x14ac:dyDescent="0.35">
      <c r="A341" s="4" t="s">
        <v>1098</v>
      </c>
      <c r="B341" s="4">
        <v>47.4</v>
      </c>
      <c r="C341" s="4">
        <v>47.4</v>
      </c>
      <c r="D341" s="5">
        <v>0.67</v>
      </c>
      <c r="E341" s="6">
        <v>2.9999999999999997E-4</v>
      </c>
      <c r="F341" s="4">
        <v>48.72</v>
      </c>
      <c r="G341" s="4" t="str">
        <f>HYPERLINK("https://www.ncbi.nlm.nih.gov/nucleotide/XM_007386729.1?report=genbank&amp;log$=nucltop&amp;blast_rank=32&amp;RID=2002GVJ2016","XM_007386729.1")</f>
        <v>XM_007386729.1</v>
      </c>
    </row>
    <row r="342" spans="1:7" x14ac:dyDescent="0.35">
      <c r="A342" t="s">
        <v>1099</v>
      </c>
      <c r="B342">
        <v>43.5</v>
      </c>
      <c r="C342">
        <v>43.5</v>
      </c>
      <c r="D342" s="2">
        <v>0.63</v>
      </c>
      <c r="E342">
        <v>8.0000000000000002E-3</v>
      </c>
      <c r="F342">
        <v>48.65</v>
      </c>
      <c r="G342" t="str">
        <f>HYPERLINK("https://www.ncbi.nlm.nih.gov/nucleotide/XM_009163476.1?report=genbank&amp;log$=nucltop&amp;blast_rank=33&amp;RID=2002GVJ2016","XM_009163476.1")</f>
        <v>XM_009163476.1</v>
      </c>
    </row>
    <row r="343" spans="1:7" x14ac:dyDescent="0.35">
      <c r="A343" t="s">
        <v>1100</v>
      </c>
      <c r="B343">
        <v>43.1</v>
      </c>
      <c r="C343">
        <v>43.1</v>
      </c>
      <c r="D343" s="2">
        <v>0.63</v>
      </c>
      <c r="E343">
        <v>1.2E-2</v>
      </c>
      <c r="F343">
        <v>48.65</v>
      </c>
      <c r="G343" t="str">
        <f>HYPERLINK("https://www.ncbi.nlm.nih.gov/nucleotide/XM_016402408.1?report=genbank&amp;log$=nucltop&amp;blast_rank=34&amp;RID=2002GVJ2016","XM_016402408.1")</f>
        <v>XM_016402408.1</v>
      </c>
    </row>
    <row r="344" spans="1:7" x14ac:dyDescent="0.35">
      <c r="A344" t="s">
        <v>148</v>
      </c>
      <c r="B344">
        <v>42.4</v>
      </c>
      <c r="C344">
        <v>42.4</v>
      </c>
      <c r="D344" s="2">
        <v>0.63</v>
      </c>
      <c r="E344">
        <v>0.02</v>
      </c>
      <c r="F344">
        <v>48.65</v>
      </c>
      <c r="G344" t="str">
        <f>HYPERLINK("https://www.ncbi.nlm.nih.gov/nucleotide/XM_016764651.1?report=genbank&amp;log$=nucltop&amp;blast_rank=35&amp;RID=2002GVJ2016","XM_016764651.1")</f>
        <v>XM_016764651.1</v>
      </c>
    </row>
    <row r="345" spans="1:7" x14ac:dyDescent="0.35">
      <c r="A345" t="s">
        <v>191</v>
      </c>
      <c r="B345">
        <v>42.4</v>
      </c>
      <c r="C345">
        <v>42.4</v>
      </c>
      <c r="D345" s="2">
        <v>0.63</v>
      </c>
      <c r="E345">
        <v>2.3E-2</v>
      </c>
      <c r="F345">
        <v>48.65</v>
      </c>
      <c r="G345" t="str">
        <f>HYPERLINK("https://www.ncbi.nlm.nih.gov/nucleotide/XM_016376959.1?report=genbank&amp;log$=nucltop&amp;blast_rank=36&amp;RID=2002GVJ2016","XM_016376959.1")</f>
        <v>XM_016376959.1</v>
      </c>
    </row>
    <row r="346" spans="1:7" x14ac:dyDescent="0.35">
      <c r="A346" t="s">
        <v>1101</v>
      </c>
      <c r="B346">
        <v>47.8</v>
      </c>
      <c r="C346">
        <v>47.8</v>
      </c>
      <c r="D346" s="2">
        <v>0.72</v>
      </c>
      <c r="E346" s="3">
        <v>2.9999999999999997E-4</v>
      </c>
      <c r="F346">
        <v>47.62</v>
      </c>
      <c r="G346" t="str">
        <f>HYPERLINK("https://www.ncbi.nlm.nih.gov/nucleotide/XM_003029221.1?report=genbank&amp;log$=nucltop&amp;blast_rank=37&amp;RID=2002GVJ2016","XM_003029221.1")</f>
        <v>XM_003029221.1</v>
      </c>
    </row>
    <row r="347" spans="1:7" x14ac:dyDescent="0.35">
      <c r="A347" t="s">
        <v>1102</v>
      </c>
      <c r="B347">
        <v>42.4</v>
      </c>
      <c r="C347">
        <v>42.4</v>
      </c>
      <c r="D347" s="2">
        <v>0.72</v>
      </c>
      <c r="E347">
        <v>2.1000000000000001E-2</v>
      </c>
      <c r="F347">
        <v>47.62</v>
      </c>
      <c r="G347" t="str">
        <f>HYPERLINK("https://www.ncbi.nlm.nih.gov/nucleotide/XM_016903023.1?report=genbank&amp;log$=nucltop&amp;blast_rank=38&amp;RID=2002GVJ2016","XM_016903023.1")</f>
        <v>XM_016903023.1</v>
      </c>
    </row>
    <row r="348" spans="1:7" x14ac:dyDescent="0.35">
      <c r="A348" t="s">
        <v>1103</v>
      </c>
      <c r="B348">
        <v>42.4</v>
      </c>
      <c r="C348">
        <v>42.4</v>
      </c>
      <c r="D348" s="2">
        <v>0.72</v>
      </c>
      <c r="E348">
        <v>2.5000000000000001E-2</v>
      </c>
      <c r="F348">
        <v>47.62</v>
      </c>
      <c r="G348" t="str">
        <f>HYPERLINK("https://www.ncbi.nlm.nih.gov/nucleotide/XM_025663634.1?report=genbank&amp;log$=nucltop&amp;blast_rank=39&amp;RID=2002GVJ2016","XM_025663634.1")</f>
        <v>XM_025663634.1</v>
      </c>
    </row>
    <row r="349" spans="1:7" x14ac:dyDescent="0.35">
      <c r="A349" t="s">
        <v>1104</v>
      </c>
      <c r="B349">
        <v>42.4</v>
      </c>
      <c r="C349">
        <v>42.4</v>
      </c>
      <c r="D349" s="2">
        <v>0.72</v>
      </c>
      <c r="E349">
        <v>2.5000000000000001E-2</v>
      </c>
      <c r="F349">
        <v>47.62</v>
      </c>
      <c r="G349" t="str">
        <f>HYPERLINK("https://www.ncbi.nlm.nih.gov/nucleotide/AP024438.1?report=genbank&amp;log$=nucltop&amp;blast_rank=40&amp;RID=2002GVJ2016","AP024438.1")</f>
        <v>AP024438.1</v>
      </c>
    </row>
    <row r="350" spans="1:7" x14ac:dyDescent="0.35">
      <c r="A350" t="s">
        <v>1105</v>
      </c>
      <c r="B350">
        <v>42.4</v>
      </c>
      <c r="C350">
        <v>42.4</v>
      </c>
      <c r="D350" s="2">
        <v>0.72</v>
      </c>
      <c r="E350">
        <v>2.5000000000000001E-2</v>
      </c>
      <c r="F350">
        <v>47.62</v>
      </c>
      <c r="G350" t="str">
        <f>HYPERLINK("https://www.ncbi.nlm.nih.gov/nucleotide/AP024429.1?report=genbank&amp;log$=nucltop&amp;blast_rank=41&amp;RID=2002GVJ2016","AP024429.1")</f>
        <v>AP024429.1</v>
      </c>
    </row>
    <row r="351" spans="1:7" x14ac:dyDescent="0.35">
      <c r="A351" t="s">
        <v>1106</v>
      </c>
      <c r="B351">
        <v>42</v>
      </c>
      <c r="C351">
        <v>42</v>
      </c>
      <c r="D351" s="2">
        <v>0.72</v>
      </c>
      <c r="E351">
        <v>2.5999999999999999E-2</v>
      </c>
      <c r="F351">
        <v>47.62</v>
      </c>
      <c r="G351" t="str">
        <f>HYPERLINK("https://www.ncbi.nlm.nih.gov/nucleotide/XM_035503331.1?report=genbank&amp;log$=nucltop&amp;blast_rank=42&amp;RID=2002GVJ2016","XM_035503331.1")</f>
        <v>XM_035503331.1</v>
      </c>
    </row>
    <row r="352" spans="1:7" x14ac:dyDescent="0.35">
      <c r="A352" t="s">
        <v>1107</v>
      </c>
      <c r="B352">
        <v>42</v>
      </c>
      <c r="C352">
        <v>42</v>
      </c>
      <c r="D352" s="2">
        <v>0.72</v>
      </c>
      <c r="E352">
        <v>2.7E-2</v>
      </c>
      <c r="F352">
        <v>47.62</v>
      </c>
      <c r="G352" t="str">
        <f>HYPERLINK("https://www.ncbi.nlm.nih.gov/nucleotide/XM_025683902.1?report=genbank&amp;log$=nucltop&amp;blast_rank=43&amp;RID=2002GVJ2016","XM_025683902.1")</f>
        <v>XM_025683902.1</v>
      </c>
    </row>
    <row r="353" spans="1:7" x14ac:dyDescent="0.35">
      <c r="A353" t="s">
        <v>1108</v>
      </c>
      <c r="B353">
        <v>44.3</v>
      </c>
      <c r="C353">
        <v>44.3</v>
      </c>
      <c r="D353" s="2">
        <v>0.65</v>
      </c>
      <c r="E353">
        <v>4.0000000000000001E-3</v>
      </c>
      <c r="F353">
        <v>47.37</v>
      </c>
      <c r="G353" t="str">
        <f>HYPERLINK("https://www.ncbi.nlm.nih.gov/nucleotide/XM_003034298.2?report=genbank&amp;log$=nucltop&amp;blast_rank=44&amp;RID=2002GVJ2016","XM_003034298.2")</f>
        <v>XM_003034298.2</v>
      </c>
    </row>
    <row r="354" spans="1:7" x14ac:dyDescent="0.35">
      <c r="A354" t="s">
        <v>174</v>
      </c>
      <c r="B354">
        <v>42</v>
      </c>
      <c r="C354">
        <v>42</v>
      </c>
      <c r="D354" s="2">
        <v>0.65</v>
      </c>
      <c r="E354">
        <v>2.5999999999999999E-2</v>
      </c>
      <c r="F354">
        <v>47.37</v>
      </c>
      <c r="G354" t="str">
        <f>HYPERLINK("https://www.ncbi.nlm.nih.gov/nucleotide/XM_016773932.1?report=genbank&amp;log$=nucltop&amp;blast_rank=45&amp;RID=2002GVJ2016","XM_016773932.1")</f>
        <v>XM_016773932.1</v>
      </c>
    </row>
    <row r="355" spans="1:7" x14ac:dyDescent="0.35">
      <c r="A355" t="s">
        <v>147</v>
      </c>
      <c r="B355">
        <v>42</v>
      </c>
      <c r="C355">
        <v>42</v>
      </c>
      <c r="D355" s="2">
        <v>0.65</v>
      </c>
      <c r="E355">
        <v>3.1E-2</v>
      </c>
      <c r="F355">
        <v>47.37</v>
      </c>
      <c r="G355" t="str">
        <f>HYPERLINK("https://www.ncbi.nlm.nih.gov/nucleotide/XM_007748379.1?report=genbank&amp;log$=nucltop&amp;blast_rank=46&amp;RID=2002GVJ2016","XM_007748379.1")</f>
        <v>XM_007748379.1</v>
      </c>
    </row>
    <row r="356" spans="1:7" x14ac:dyDescent="0.35">
      <c r="A356" s="4" t="s">
        <v>1109</v>
      </c>
      <c r="B356" s="4">
        <v>50.8</v>
      </c>
      <c r="C356" s="4">
        <v>97.8</v>
      </c>
      <c r="D356" s="5">
        <v>0.72</v>
      </c>
      <c r="E356" s="6">
        <v>2.0000000000000002E-5</v>
      </c>
      <c r="F356" s="4">
        <v>46.34</v>
      </c>
      <c r="G356" s="4" t="str">
        <f>HYPERLINK("https://www.ncbi.nlm.nih.gov/nucleotide/XM_007384198.1?report=genbank&amp;log$=nucltop&amp;blast_rank=47&amp;RID=2002GVJ2016","XM_007384198.1")</f>
        <v>XM_007384198.1</v>
      </c>
    </row>
    <row r="357" spans="1:7" x14ac:dyDescent="0.35">
      <c r="A357" t="s">
        <v>1110</v>
      </c>
      <c r="B357">
        <v>44.3</v>
      </c>
      <c r="C357">
        <v>44.3</v>
      </c>
      <c r="D357" s="2">
        <v>0.67</v>
      </c>
      <c r="E357">
        <v>5.0000000000000001E-3</v>
      </c>
      <c r="F357">
        <v>46.15</v>
      </c>
      <c r="G357" t="str">
        <f>HYPERLINK("https://www.ncbi.nlm.nih.gov/nucleotide/XM_003033724.1?report=genbank&amp;log$=nucltop&amp;blast_rank=48&amp;RID=2002GVJ2016","XM_003033724.1")</f>
        <v>XM_003033724.1</v>
      </c>
    </row>
    <row r="358" spans="1:7" x14ac:dyDescent="0.35">
      <c r="A358" t="s">
        <v>1111</v>
      </c>
      <c r="B358">
        <v>45.4</v>
      </c>
      <c r="C358">
        <v>45.4</v>
      </c>
      <c r="D358" s="2">
        <v>0.63</v>
      </c>
      <c r="E358">
        <v>2E-3</v>
      </c>
      <c r="F358">
        <v>45.95</v>
      </c>
      <c r="G358" t="str">
        <f>HYPERLINK("https://www.ncbi.nlm.nih.gov/nucleotide/XM_007870553.1?report=genbank&amp;log$=nucltop&amp;blast_rank=49&amp;RID=2002GVJ2016","XM_007870553.1")</f>
        <v>XM_007870553.1</v>
      </c>
    </row>
    <row r="359" spans="1:7" x14ac:dyDescent="0.35">
      <c r="A359" t="s">
        <v>152</v>
      </c>
      <c r="B359">
        <v>41.6</v>
      </c>
      <c r="C359">
        <v>41.6</v>
      </c>
      <c r="D359" s="2">
        <v>0.63</v>
      </c>
      <c r="E359">
        <v>4.2000000000000003E-2</v>
      </c>
      <c r="F359">
        <v>45.95</v>
      </c>
      <c r="G359" t="str">
        <f>HYPERLINK("https://www.ncbi.nlm.nih.gov/nucleotide/XM_013459244.1?report=genbank&amp;log$=nucltop&amp;blast_rank=50&amp;RID=2002GVJ2016","XM_013459244.1")</f>
        <v>XM_013459244.1</v>
      </c>
    </row>
    <row r="360" spans="1:7" x14ac:dyDescent="0.35">
      <c r="A360" t="s">
        <v>102</v>
      </c>
      <c r="B360">
        <v>48.5</v>
      </c>
      <c r="C360">
        <v>48.5</v>
      </c>
      <c r="D360" s="2">
        <v>0.75</v>
      </c>
      <c r="E360" s="3">
        <v>2.0000000000000001E-4</v>
      </c>
      <c r="F360">
        <v>45.45</v>
      </c>
      <c r="G360" t="str">
        <f>HYPERLINK("https://www.ncbi.nlm.nih.gov/nucleotide/CP055898.1?report=genbank&amp;log$=nucltop&amp;blast_rank=51&amp;RID=2002GVJ2016","CP055898.1")</f>
        <v>CP055898.1</v>
      </c>
    </row>
    <row r="361" spans="1:7" x14ac:dyDescent="0.35">
      <c r="A361" t="s">
        <v>1112</v>
      </c>
      <c r="B361">
        <v>48.1</v>
      </c>
      <c r="C361">
        <v>48.1</v>
      </c>
      <c r="D361" s="2">
        <v>0.75</v>
      </c>
      <c r="E361" s="3">
        <v>2.0000000000000001E-4</v>
      </c>
      <c r="F361">
        <v>45.45</v>
      </c>
      <c r="G361" t="str">
        <f>HYPERLINK("https://www.ncbi.nlm.nih.gov/nucleotide/XM_035484102.1?report=genbank&amp;log$=nucltop&amp;blast_rank=52&amp;RID=2002GVJ2016","XM_035484102.1")</f>
        <v>XM_035484102.1</v>
      </c>
    </row>
    <row r="362" spans="1:7" x14ac:dyDescent="0.35">
      <c r="A362" t="s">
        <v>1113</v>
      </c>
      <c r="B362">
        <v>45.4</v>
      </c>
      <c r="C362">
        <v>45.4</v>
      </c>
      <c r="D362" s="2">
        <v>0.75</v>
      </c>
      <c r="E362">
        <v>2E-3</v>
      </c>
      <c r="F362">
        <v>45.45</v>
      </c>
      <c r="G362" t="str">
        <f>HYPERLINK("https://www.ncbi.nlm.nih.gov/nucleotide/MT277003.1?report=genbank&amp;log$=nucltop&amp;blast_rank=53&amp;RID=2002GVJ2016","MT277003.1")</f>
        <v>MT277003.1</v>
      </c>
    </row>
    <row r="363" spans="1:7" x14ac:dyDescent="0.35">
      <c r="A363" t="s">
        <v>1114</v>
      </c>
      <c r="B363">
        <v>45.8</v>
      </c>
      <c r="C363">
        <v>45.8</v>
      </c>
      <c r="D363" s="2">
        <v>0.72</v>
      </c>
      <c r="E363">
        <v>1E-3</v>
      </c>
      <c r="F363">
        <v>45.24</v>
      </c>
      <c r="G363" t="str">
        <f>HYPERLINK("https://www.ncbi.nlm.nih.gov/nucleotide/XM_031143487.1?report=genbank&amp;log$=nucltop&amp;blast_rank=54&amp;RID=2002GVJ2016","XM_031143487.1")</f>
        <v>XM_031143487.1</v>
      </c>
    </row>
    <row r="364" spans="1:7" x14ac:dyDescent="0.35">
      <c r="A364" t="s">
        <v>147</v>
      </c>
      <c r="B364">
        <v>45.8</v>
      </c>
      <c r="C364">
        <v>45.8</v>
      </c>
      <c r="D364" s="2">
        <v>0.72</v>
      </c>
      <c r="E364">
        <v>1E-3</v>
      </c>
      <c r="F364">
        <v>45.24</v>
      </c>
      <c r="G364" t="str">
        <f>HYPERLINK("https://www.ncbi.nlm.nih.gov/nucleotide/XM_007741396.1?report=genbank&amp;log$=nucltop&amp;blast_rank=55&amp;RID=2002GVJ2016","XM_007741396.1")</f>
        <v>XM_007741396.1</v>
      </c>
    </row>
    <row r="365" spans="1:7" x14ac:dyDescent="0.35">
      <c r="A365" t="s">
        <v>1115</v>
      </c>
      <c r="B365">
        <v>42.4</v>
      </c>
      <c r="C365">
        <v>42.4</v>
      </c>
      <c r="D365" s="2">
        <v>0.72</v>
      </c>
      <c r="E365">
        <v>2.1000000000000001E-2</v>
      </c>
      <c r="F365">
        <v>45.24</v>
      </c>
      <c r="G365" t="str">
        <f>HYPERLINK("https://www.ncbi.nlm.nih.gov/nucleotide/XM_033725525.1?report=genbank&amp;log$=nucltop&amp;blast_rank=56&amp;RID=2002GVJ2016","XM_033725525.1")</f>
        <v>XM_033725525.1</v>
      </c>
    </row>
    <row r="366" spans="1:7" x14ac:dyDescent="0.35">
      <c r="A366" t="s">
        <v>1116</v>
      </c>
      <c r="B366">
        <v>41.2</v>
      </c>
      <c r="C366">
        <v>41.2</v>
      </c>
      <c r="D366" s="2">
        <v>0.72</v>
      </c>
      <c r="E366">
        <v>4.7E-2</v>
      </c>
      <c r="F366">
        <v>45.24</v>
      </c>
      <c r="G366" t="str">
        <f>HYPERLINK("https://www.ncbi.nlm.nih.gov/nucleotide/XM_024833444.1?report=genbank&amp;log$=nucltop&amp;blast_rank=57&amp;RID=2002GVJ2016","XM_024833444.1")</f>
        <v>XM_024833444.1</v>
      </c>
    </row>
    <row r="367" spans="1:7" x14ac:dyDescent="0.35">
      <c r="A367" t="s">
        <v>1117</v>
      </c>
      <c r="B367">
        <v>41.6</v>
      </c>
      <c r="C367">
        <v>41.6</v>
      </c>
      <c r="D367" s="2">
        <v>0.68</v>
      </c>
      <c r="E367">
        <v>3.9E-2</v>
      </c>
      <c r="F367">
        <v>45</v>
      </c>
      <c r="G367" t="str">
        <f>HYPERLINK("https://www.ncbi.nlm.nih.gov/nucleotide/XM_003029618.1?report=genbank&amp;log$=nucltop&amp;blast_rank=58&amp;RID=2002GVJ2016","XM_003029618.1")</f>
        <v>XM_003029618.1</v>
      </c>
    </row>
    <row r="368" spans="1:7" x14ac:dyDescent="0.35">
      <c r="A368" t="s">
        <v>1118</v>
      </c>
      <c r="B368">
        <v>42</v>
      </c>
      <c r="C368">
        <v>42</v>
      </c>
      <c r="D368" s="2">
        <v>0.65</v>
      </c>
      <c r="E368">
        <v>2.9000000000000001E-2</v>
      </c>
      <c r="F368">
        <v>44.74</v>
      </c>
      <c r="G368" t="str">
        <f>HYPERLINK("https://www.ncbi.nlm.nih.gov/nucleotide/XM_003034297.1?report=genbank&amp;log$=nucltop&amp;blast_rank=59&amp;RID=2002GVJ2016","XM_003034297.1")</f>
        <v>XM_003034297.1</v>
      </c>
    </row>
    <row r="369" spans="1:7" x14ac:dyDescent="0.35">
      <c r="A369" t="s">
        <v>156</v>
      </c>
      <c r="B369">
        <v>46.2</v>
      </c>
      <c r="C369">
        <v>46.2</v>
      </c>
      <c r="D369" s="2">
        <v>0.74</v>
      </c>
      <c r="E369">
        <v>1E-3</v>
      </c>
      <c r="F369">
        <v>44.19</v>
      </c>
      <c r="G369" t="str">
        <f>HYPERLINK("https://www.ncbi.nlm.nih.gov/nucleotide/XM_013426355.1?report=genbank&amp;log$=nucltop&amp;blast_rank=60&amp;RID=2002GVJ2016","XM_013426355.1")</f>
        <v>XM_013426355.1</v>
      </c>
    </row>
    <row r="370" spans="1:7" x14ac:dyDescent="0.35">
      <c r="A370" t="s">
        <v>1119</v>
      </c>
      <c r="B370">
        <v>46.2</v>
      </c>
      <c r="C370">
        <v>46.2</v>
      </c>
      <c r="D370" s="2">
        <v>0.74</v>
      </c>
      <c r="E370">
        <v>1E-3</v>
      </c>
      <c r="F370">
        <v>44.19</v>
      </c>
      <c r="G370" t="str">
        <f>HYPERLINK("https://www.ncbi.nlm.nih.gov/nucleotide/XM_022660450.1?report=genbank&amp;log$=nucltop&amp;blast_rank=61&amp;RID=2002GVJ2016","XM_022660450.1")</f>
        <v>XM_022660450.1</v>
      </c>
    </row>
    <row r="371" spans="1:7" x14ac:dyDescent="0.35">
      <c r="A371" t="s">
        <v>1120</v>
      </c>
      <c r="B371">
        <v>45.4</v>
      </c>
      <c r="C371">
        <v>45.4</v>
      </c>
      <c r="D371" s="2">
        <v>0.74</v>
      </c>
      <c r="E371">
        <v>2E-3</v>
      </c>
      <c r="F371">
        <v>44.19</v>
      </c>
      <c r="G371" t="str">
        <f>HYPERLINK("https://www.ncbi.nlm.nih.gov/nucleotide/XM_022644307.1?report=genbank&amp;log$=nucltop&amp;blast_rank=62&amp;RID=2002GVJ2016","XM_022644307.1")</f>
        <v>XM_022644307.1</v>
      </c>
    </row>
    <row r="372" spans="1:7" x14ac:dyDescent="0.35">
      <c r="A372" t="s">
        <v>254</v>
      </c>
      <c r="B372">
        <v>41.6</v>
      </c>
      <c r="C372">
        <v>41.6</v>
      </c>
      <c r="D372" s="2">
        <v>0.74</v>
      </c>
      <c r="E372">
        <v>0.04</v>
      </c>
      <c r="F372">
        <v>44.19</v>
      </c>
      <c r="G372" t="str">
        <f>HYPERLINK("https://www.ncbi.nlm.nih.gov/nucleotide/XM_018274162.1?report=genbank&amp;log$=nucltop&amp;blast_rank=63&amp;RID=2002GVJ2016","XM_018274162.1")</f>
        <v>XM_018274162.1</v>
      </c>
    </row>
    <row r="373" spans="1:7" x14ac:dyDescent="0.35">
      <c r="A373" t="s">
        <v>135</v>
      </c>
      <c r="B373">
        <v>44.3</v>
      </c>
      <c r="C373">
        <v>44.3</v>
      </c>
      <c r="D373" s="2">
        <v>0.75</v>
      </c>
      <c r="E373">
        <v>5.0000000000000001E-3</v>
      </c>
      <c r="F373">
        <v>43.18</v>
      </c>
      <c r="G373" t="str">
        <f>HYPERLINK("https://www.ncbi.nlm.nih.gov/nucleotide/XM_007733871.1?report=genbank&amp;log$=nucltop&amp;blast_rank=64&amp;RID=2002GVJ2016","XM_007733871.1")</f>
        <v>XM_007733871.1</v>
      </c>
    </row>
    <row r="374" spans="1:7" x14ac:dyDescent="0.35">
      <c r="A374" t="s">
        <v>1121</v>
      </c>
      <c r="B374">
        <v>43.9</v>
      </c>
      <c r="C374">
        <v>43.9</v>
      </c>
      <c r="D374" s="2">
        <v>0.75</v>
      </c>
      <c r="E374">
        <v>5.0000000000000001E-3</v>
      </c>
      <c r="F374">
        <v>43.18</v>
      </c>
      <c r="G374" t="str">
        <f>HYPERLINK("https://www.ncbi.nlm.nih.gov/nucleotide/XM_018143458.1?report=genbank&amp;log$=nucltop&amp;blast_rank=65&amp;RID=2002GVJ2016","XM_018143458.1")</f>
        <v>XM_018143458.1</v>
      </c>
    </row>
    <row r="375" spans="1:7" x14ac:dyDescent="0.35">
      <c r="A375" t="s">
        <v>1122</v>
      </c>
      <c r="B375">
        <v>41.6</v>
      </c>
      <c r="C375">
        <v>41.6</v>
      </c>
      <c r="D375" s="2">
        <v>0.72</v>
      </c>
      <c r="E375">
        <v>4.4999999999999998E-2</v>
      </c>
      <c r="F375">
        <v>42.86</v>
      </c>
      <c r="G375" t="str">
        <f>HYPERLINK("https://www.ncbi.nlm.nih.gov/nucleotide/XM_036773519.1?report=genbank&amp;log$=nucltop&amp;blast_rank=66&amp;RID=2002GVJ2016","XM_036773519.1")</f>
        <v>XM_036773519.1</v>
      </c>
    </row>
    <row r="376" spans="1:7" x14ac:dyDescent="0.35">
      <c r="A376" t="s">
        <v>1123</v>
      </c>
      <c r="B376">
        <v>42</v>
      </c>
      <c r="C376">
        <v>42</v>
      </c>
      <c r="D376" s="2">
        <v>0.72</v>
      </c>
      <c r="E376">
        <v>3.2000000000000001E-2</v>
      </c>
      <c r="F376">
        <v>40.479999999999997</v>
      </c>
      <c r="G376" t="str">
        <f>HYPERLINK("https://www.ncbi.nlm.nih.gov/nucleotide/XM_036773526.1?report=genbank&amp;log$=nucltop&amp;blast_rank=67&amp;RID=2002GVJ2016","XM_036773526.1")</f>
        <v>XM_036773526.1</v>
      </c>
    </row>
    <row r="377" spans="1:7" x14ac:dyDescent="0.35">
      <c r="A377" t="s">
        <v>1124</v>
      </c>
      <c r="B377">
        <v>42</v>
      </c>
      <c r="C377">
        <v>42</v>
      </c>
      <c r="D377" s="2">
        <v>0.91</v>
      </c>
      <c r="E377">
        <v>2.7E-2</v>
      </c>
      <c r="F377">
        <v>38.89</v>
      </c>
      <c r="G377" t="str">
        <f>HYPERLINK("https://www.ncbi.nlm.nih.gov/nucleotide/XM_024862466.1?report=genbank&amp;log$=nucltop&amp;blast_rank=68&amp;RID=2002GVJ2016","XM_024862466.1")</f>
        <v>XM_024862466.1</v>
      </c>
    </row>
    <row r="378" spans="1:7" x14ac:dyDescent="0.35">
      <c r="A378" t="s">
        <v>1125</v>
      </c>
      <c r="B378">
        <v>42.4</v>
      </c>
      <c r="C378">
        <v>42.4</v>
      </c>
      <c r="D378" s="2">
        <v>0.75</v>
      </c>
      <c r="E378">
        <v>0.02</v>
      </c>
      <c r="F378">
        <v>38.64</v>
      </c>
      <c r="G378" t="str">
        <f>HYPERLINK("https://www.ncbi.nlm.nih.gov/nucleotide/XM_007674265.1?report=genbank&amp;log$=nucltop&amp;blast_rank=69&amp;RID=2002GVJ2016","XM_007674265.1")</f>
        <v>XM_007674265.1</v>
      </c>
    </row>
    <row r="379" spans="1:7" x14ac:dyDescent="0.35">
      <c r="A379" t="s">
        <v>180</v>
      </c>
      <c r="B379">
        <v>42.4</v>
      </c>
      <c r="C379">
        <v>42.4</v>
      </c>
      <c r="D379" s="2">
        <v>0.75</v>
      </c>
      <c r="E379">
        <v>2.4E-2</v>
      </c>
      <c r="F379">
        <v>38.64</v>
      </c>
      <c r="G379" t="str">
        <f>HYPERLINK("https://www.ncbi.nlm.nih.gov/nucleotide/XM_016356425.1?report=genbank&amp;log$=nucltop&amp;blast_rank=70&amp;RID=2002GVJ2016","XM_016356425.1")</f>
        <v>XM_016356425.1</v>
      </c>
    </row>
    <row r="380" spans="1:7" x14ac:dyDescent="0.35">
      <c r="A380" t="s">
        <v>1126</v>
      </c>
      <c r="B380">
        <v>41.6</v>
      </c>
      <c r="C380">
        <v>41.6</v>
      </c>
      <c r="D380" s="2">
        <v>0.82</v>
      </c>
      <c r="E380">
        <v>0.04</v>
      </c>
      <c r="F380">
        <v>35.42</v>
      </c>
      <c r="G380" t="str">
        <f>HYPERLINK("https://www.ncbi.nlm.nih.gov/nucleotide/XM_037346829.1?report=genbank&amp;log$=nucltop&amp;blast_rank=71&amp;RID=2002GVJ2016","XM_037346829.1")</f>
        <v>XM_037346829.1</v>
      </c>
    </row>
    <row r="381" spans="1:7" x14ac:dyDescent="0.35">
      <c r="A381" t="s">
        <v>1127</v>
      </c>
      <c r="B381">
        <v>42.7</v>
      </c>
      <c r="C381">
        <v>42.7</v>
      </c>
      <c r="D381" s="2">
        <v>0.75</v>
      </c>
      <c r="E381">
        <v>1.4999999999999999E-2</v>
      </c>
      <c r="F381">
        <v>34.090000000000003</v>
      </c>
      <c r="G381" t="str">
        <f>HYPERLINK("https://www.ncbi.nlm.nih.gov/nucleotide/XM_036686072.1?report=genbank&amp;log$=nucltop&amp;blast_rank=72&amp;RID=2002GVJ2016","XM_036686072.1")</f>
        <v>XM_036686072.1</v>
      </c>
    </row>
    <row r="382" spans="1:7" x14ac:dyDescent="0.35">
      <c r="A382" s="1" t="s">
        <v>1128</v>
      </c>
    </row>
    <row r="383" spans="1:7" x14ac:dyDescent="0.35">
      <c r="A383" s="1" t="s">
        <v>1129</v>
      </c>
    </row>
    <row r="384" spans="1:7" x14ac:dyDescent="0.35">
      <c r="A384" s="1" t="s">
        <v>2</v>
      </c>
      <c r="B384" s="1" t="s">
        <v>3</v>
      </c>
      <c r="C384" s="1" t="s">
        <v>4</v>
      </c>
      <c r="D384" s="1" t="s">
        <v>5</v>
      </c>
      <c r="E384" s="1" t="s">
        <v>6</v>
      </c>
      <c r="F384" s="1" t="s">
        <v>7</v>
      </c>
      <c r="G384" s="1" t="s">
        <v>8</v>
      </c>
    </row>
    <row r="385" spans="1:7" x14ac:dyDescent="0.35">
      <c r="A385" t="s">
        <v>1130</v>
      </c>
      <c r="B385">
        <v>317</v>
      </c>
      <c r="C385">
        <v>973</v>
      </c>
      <c r="D385" s="2">
        <v>0.97</v>
      </c>
      <c r="E385" s="3">
        <v>9.9999999999999996E-95</v>
      </c>
      <c r="F385">
        <v>56.04</v>
      </c>
      <c r="G385" t="str">
        <f>HYPERLINK("https://www.ncbi.nlm.nih.gov/nucleotide/LR732083.1?report=genbank&amp;log$=nucltop&amp;blast_rank=1&amp;RID=2004P2H6013","LR732083.1")</f>
        <v>LR732083.1</v>
      </c>
    </row>
    <row r="386" spans="1:7" x14ac:dyDescent="0.35">
      <c r="A386" t="s">
        <v>1131</v>
      </c>
      <c r="B386">
        <v>294</v>
      </c>
      <c r="C386">
        <v>1877</v>
      </c>
      <c r="D386" s="2">
        <v>1</v>
      </c>
      <c r="E386" s="3">
        <v>7.0000000000000002E-87</v>
      </c>
      <c r="F386">
        <v>52.92</v>
      </c>
      <c r="G386" t="str">
        <f>HYPERLINK("https://www.ncbi.nlm.nih.gov/nucleotide/LR732078.1?report=genbank&amp;log$=nucltop&amp;blast_rank=2&amp;RID=2004P2H6013","LR732078.1")</f>
        <v>LR732078.1</v>
      </c>
    </row>
    <row r="387" spans="1:7" x14ac:dyDescent="0.35">
      <c r="A387" t="s">
        <v>37</v>
      </c>
      <c r="B387">
        <v>271</v>
      </c>
      <c r="C387">
        <v>1757</v>
      </c>
      <c r="D387" s="2">
        <v>0.99</v>
      </c>
      <c r="E387" s="3">
        <v>5E-79</v>
      </c>
      <c r="F387">
        <v>48.91</v>
      </c>
      <c r="G387" t="str">
        <f>HYPERLINK("https://www.ncbi.nlm.nih.gov/nucleotide/LR732085.1?report=genbank&amp;log$=nucltop&amp;blast_rank=3&amp;RID=2004P2H6013","LR732085.1")</f>
        <v>LR732085.1</v>
      </c>
    </row>
    <row r="388" spans="1:7" x14ac:dyDescent="0.35">
      <c r="A388" t="s">
        <v>1132</v>
      </c>
      <c r="B388">
        <v>251</v>
      </c>
      <c r="C388">
        <v>1429</v>
      </c>
      <c r="D388" s="2">
        <v>0.98</v>
      </c>
      <c r="E388" s="3">
        <v>7E-72</v>
      </c>
      <c r="F388">
        <v>46.69</v>
      </c>
      <c r="G388" t="str">
        <f>HYPERLINK("https://www.ncbi.nlm.nih.gov/nucleotide/LR732080.1?report=genbank&amp;log$=nucltop&amp;blast_rank=4&amp;RID=2004P2H6013","LR732080.1")</f>
        <v>LR732080.1</v>
      </c>
    </row>
    <row r="389" spans="1:7" x14ac:dyDescent="0.35">
      <c r="A389" t="s">
        <v>9</v>
      </c>
      <c r="B389">
        <v>218</v>
      </c>
      <c r="C389">
        <v>298</v>
      </c>
      <c r="D389" s="2">
        <v>0.94</v>
      </c>
      <c r="E389" s="3">
        <v>3.0000000000000002E-60</v>
      </c>
      <c r="F389">
        <v>44.81</v>
      </c>
      <c r="G389" t="str">
        <f>HYPERLINK("https://www.ncbi.nlm.nih.gov/nucleotide/LR732079.1?report=genbank&amp;log$=nucltop&amp;blast_rank=5&amp;RID=2004P2H6013","LR732079.1")</f>
        <v>LR732079.1</v>
      </c>
    </row>
    <row r="390" spans="1:7" x14ac:dyDescent="0.35">
      <c r="A390" s="4" t="s">
        <v>1133</v>
      </c>
      <c r="B390" s="4">
        <v>99.4</v>
      </c>
      <c r="C390" s="4">
        <v>99.4</v>
      </c>
      <c r="D390" s="5">
        <v>0.83</v>
      </c>
      <c r="E390" s="6">
        <v>2.9999999999999999E-19</v>
      </c>
      <c r="F390" s="4">
        <v>33.47</v>
      </c>
      <c r="G390" s="4" t="str">
        <f>HYPERLINK("https://www.ncbi.nlm.nih.gov/nucleotide/XM_007269877.1?report=genbank&amp;log$=nucltop&amp;blast_rank=6&amp;RID=2004P2H6013","XM_007269877.1")</f>
        <v>XM_007269877.1</v>
      </c>
    </row>
    <row r="391" spans="1:7" x14ac:dyDescent="0.35">
      <c r="A391" t="s">
        <v>1134</v>
      </c>
      <c r="B391">
        <v>103</v>
      </c>
      <c r="C391">
        <v>103</v>
      </c>
      <c r="D391" s="2">
        <v>0.88</v>
      </c>
      <c r="E391" s="3">
        <v>1.9999999999999999E-20</v>
      </c>
      <c r="F391">
        <v>33.33</v>
      </c>
      <c r="G391" t="str">
        <f>HYPERLINK("https://www.ncbi.nlm.nih.gov/nucleotide/CP064754.1?report=genbank&amp;log$=nucltop&amp;blast_rank=7&amp;RID=2004P2H6013","CP064754.1")</f>
        <v>CP064754.1</v>
      </c>
    </row>
    <row r="392" spans="1:7" x14ac:dyDescent="0.35">
      <c r="A392" t="s">
        <v>1135</v>
      </c>
      <c r="B392">
        <v>96.7</v>
      </c>
      <c r="C392">
        <v>96.7</v>
      </c>
      <c r="D392" s="2">
        <v>0.98</v>
      </c>
      <c r="E392" s="3">
        <v>2.0000000000000001E-18</v>
      </c>
      <c r="F392">
        <v>32.74</v>
      </c>
      <c r="G392" t="str">
        <f>HYPERLINK("https://www.ncbi.nlm.nih.gov/nucleotide/XM_022726912.1?report=genbank&amp;log$=nucltop&amp;blast_rank=8&amp;RID=2004P2H6013","XM_022726912.1")</f>
        <v>XM_022726912.1</v>
      </c>
    </row>
    <row r="393" spans="1:7" x14ac:dyDescent="0.35">
      <c r="A393" s="4" t="s">
        <v>1136</v>
      </c>
      <c r="B393" s="4">
        <v>96.3</v>
      </c>
      <c r="C393" s="4">
        <v>96.3</v>
      </c>
      <c r="D393" s="5">
        <v>0.84</v>
      </c>
      <c r="E393" s="6">
        <v>2.9999999999999998E-18</v>
      </c>
      <c r="F393" s="4">
        <v>32.22</v>
      </c>
      <c r="G393" s="4" t="str">
        <f>HYPERLINK("https://www.ncbi.nlm.nih.gov/nucleotide/XM_007269415.1?report=genbank&amp;log$=nucltop&amp;blast_rank=9&amp;RID=2004P2H6013","XM_007269415.1")</f>
        <v>XM_007269415.1</v>
      </c>
    </row>
    <row r="394" spans="1:7" x14ac:dyDescent="0.35">
      <c r="A394" t="s">
        <v>1137</v>
      </c>
      <c r="B394">
        <v>100</v>
      </c>
      <c r="C394">
        <v>159</v>
      </c>
      <c r="D394" s="2">
        <v>0.94</v>
      </c>
      <c r="E394" s="3">
        <v>2E-19</v>
      </c>
      <c r="F394">
        <v>31.78</v>
      </c>
      <c r="G394" t="str">
        <f>HYPERLINK("https://www.ncbi.nlm.nih.gov/nucleotide/CP064749.1?report=genbank&amp;log$=nucltop&amp;blast_rank=10&amp;RID=2004P2H6013","CP064749.1")</f>
        <v>CP064749.1</v>
      </c>
    </row>
    <row r="395" spans="1:7" x14ac:dyDescent="0.35">
      <c r="A395" s="4" t="s">
        <v>1138</v>
      </c>
      <c r="B395" s="4">
        <v>104</v>
      </c>
      <c r="C395" s="4">
        <v>104</v>
      </c>
      <c r="D395" s="5">
        <v>0.83</v>
      </c>
      <c r="E395" s="6">
        <v>4.9999999999999997E-21</v>
      </c>
      <c r="F395" s="4">
        <v>31.49</v>
      </c>
      <c r="G395" s="4" t="str">
        <f>HYPERLINK("https://www.ncbi.nlm.nih.gov/nucleotide/XM_007270441.1?report=genbank&amp;log$=nucltop&amp;blast_rank=11&amp;RID=2004P2H6013","XM_007270441.1")</f>
        <v>XM_007270441.1</v>
      </c>
    </row>
    <row r="396" spans="1:7" x14ac:dyDescent="0.35">
      <c r="A396" s="4" t="s">
        <v>1139</v>
      </c>
      <c r="B396" s="4">
        <v>98.6</v>
      </c>
      <c r="C396" s="4">
        <v>98.6</v>
      </c>
      <c r="D396" s="5">
        <v>0.83</v>
      </c>
      <c r="E396" s="6">
        <v>3.9999999999999999E-19</v>
      </c>
      <c r="F396" s="4">
        <v>31.49</v>
      </c>
      <c r="G396" s="4" t="str">
        <f>HYPERLINK("https://www.ncbi.nlm.nih.gov/nucleotide/XM_007270387.1?report=genbank&amp;log$=nucltop&amp;blast_rank=12&amp;RID=2004P2H6013","XM_007270387.1")</f>
        <v>XM_007270387.1</v>
      </c>
    </row>
    <row r="397" spans="1:7" x14ac:dyDescent="0.35">
      <c r="A397" t="s">
        <v>1140</v>
      </c>
      <c r="B397">
        <v>90.9</v>
      </c>
      <c r="C397">
        <v>158</v>
      </c>
      <c r="D397" s="2">
        <v>0.95</v>
      </c>
      <c r="E397" s="3">
        <v>2.9999999999999999E-16</v>
      </c>
      <c r="F397">
        <v>31.43</v>
      </c>
      <c r="G397" t="str">
        <f>HYPERLINK("https://www.ncbi.nlm.nih.gov/nucleotide/CP064748.1?report=genbank&amp;log$=nucltop&amp;blast_rank=13&amp;RID=2004P2H6013","CP064748.1")</f>
        <v>CP064748.1</v>
      </c>
    </row>
    <row r="398" spans="1:7" x14ac:dyDescent="0.35">
      <c r="A398" t="s">
        <v>1141</v>
      </c>
      <c r="B398">
        <v>90.1</v>
      </c>
      <c r="C398">
        <v>90.1</v>
      </c>
      <c r="D398" s="2">
        <v>0.84</v>
      </c>
      <c r="E398" s="3">
        <v>2.9999999999999999E-16</v>
      </c>
      <c r="F398">
        <v>31.4</v>
      </c>
      <c r="G398" t="str">
        <f>HYPERLINK("https://www.ncbi.nlm.nih.gov/nucleotide/XM_006461479.1?report=genbank&amp;log$=nucltop&amp;blast_rank=14&amp;RID=2004P2H6013","XM_006461479.1")</f>
        <v>XM_006461479.1</v>
      </c>
    </row>
    <row r="399" spans="1:7" x14ac:dyDescent="0.35">
      <c r="A399" t="s">
        <v>1142</v>
      </c>
      <c r="B399">
        <v>87.8</v>
      </c>
      <c r="C399">
        <v>87.8</v>
      </c>
      <c r="D399" s="2">
        <v>0.84</v>
      </c>
      <c r="E399" s="3">
        <v>1.0000000000000001E-15</v>
      </c>
      <c r="F399">
        <v>31.4</v>
      </c>
      <c r="G399" t="str">
        <f>HYPERLINK("https://www.ncbi.nlm.nih.gov/nucleotide/XM_007327114.1?report=genbank&amp;log$=nucltop&amp;blast_rank=15&amp;RID=2004P2H6013","XM_007327114.1")</f>
        <v>XM_007327114.1</v>
      </c>
    </row>
    <row r="400" spans="1:7" x14ac:dyDescent="0.35">
      <c r="A400" t="s">
        <v>1143</v>
      </c>
      <c r="B400">
        <v>87.8</v>
      </c>
      <c r="C400">
        <v>87.8</v>
      </c>
      <c r="D400" s="2">
        <v>0.84</v>
      </c>
      <c r="E400" s="3">
        <v>2.0000000000000002E-15</v>
      </c>
      <c r="F400">
        <v>31.4</v>
      </c>
      <c r="G400" t="str">
        <f>HYPERLINK("https://www.ncbi.nlm.nih.gov/nucleotide/XM_006463896.1?report=genbank&amp;log$=nucltop&amp;blast_rank=16&amp;RID=2004P2H6013","XM_006463896.1")</f>
        <v>XM_006463896.1</v>
      </c>
    </row>
    <row r="401" spans="1:7" x14ac:dyDescent="0.35">
      <c r="A401" t="s">
        <v>1144</v>
      </c>
      <c r="B401">
        <v>87.8</v>
      </c>
      <c r="C401">
        <v>231</v>
      </c>
      <c r="D401" s="2">
        <v>0.84</v>
      </c>
      <c r="E401" s="3">
        <v>2.9999999999999998E-15</v>
      </c>
      <c r="F401">
        <v>31.4</v>
      </c>
      <c r="G401" t="str">
        <f>HYPERLINK("https://www.ncbi.nlm.nih.gov/nucleotide/CP015466.1?report=genbank&amp;log$=nucltop&amp;blast_rank=17&amp;RID=2004P2H6013","CP015466.1")</f>
        <v>CP015466.1</v>
      </c>
    </row>
    <row r="402" spans="1:7" x14ac:dyDescent="0.35">
      <c r="A402" t="s">
        <v>1145</v>
      </c>
      <c r="B402">
        <v>87.8</v>
      </c>
      <c r="C402">
        <v>281</v>
      </c>
      <c r="D402" s="2">
        <v>0.84</v>
      </c>
      <c r="E402" s="3">
        <v>2.9999999999999998E-15</v>
      </c>
      <c r="F402">
        <v>31.4</v>
      </c>
      <c r="G402" t="str">
        <f>HYPERLINK("https://www.ncbi.nlm.nih.gov/nucleotide/CP015479.1?report=genbank&amp;log$=nucltop&amp;blast_rank=18&amp;RID=2004P2H6013","CP015479.1")</f>
        <v>CP015479.1</v>
      </c>
    </row>
    <row r="403" spans="1:7" x14ac:dyDescent="0.35">
      <c r="A403" t="s">
        <v>1146</v>
      </c>
      <c r="B403">
        <v>87.8</v>
      </c>
      <c r="C403">
        <v>263</v>
      </c>
      <c r="D403" s="2">
        <v>0.84</v>
      </c>
      <c r="E403" s="3">
        <v>2.9999999999999998E-15</v>
      </c>
      <c r="F403">
        <v>31.4</v>
      </c>
      <c r="G403" t="str">
        <f>HYPERLINK("https://www.ncbi.nlm.nih.gov/nucleotide/CP039882.1?report=genbank&amp;log$=nucltop&amp;blast_rank=19&amp;RID=2004P2H6013","CP039882.1")</f>
        <v>CP039882.1</v>
      </c>
    </row>
    <row r="404" spans="1:7" x14ac:dyDescent="0.35">
      <c r="A404" t="s">
        <v>1147</v>
      </c>
      <c r="B404">
        <v>86.3</v>
      </c>
      <c r="C404">
        <v>86.3</v>
      </c>
      <c r="D404" s="2">
        <v>0.84</v>
      </c>
      <c r="E404" s="3">
        <v>7.0000000000000001E-15</v>
      </c>
      <c r="F404">
        <v>31.4</v>
      </c>
      <c r="G404" t="str">
        <f>HYPERLINK("https://www.ncbi.nlm.nih.gov/nucleotide/XM_006461478.1?report=genbank&amp;log$=nucltop&amp;blast_rank=20&amp;RID=2004P2H6013","XM_006461478.1")</f>
        <v>XM_006461478.1</v>
      </c>
    </row>
    <row r="405" spans="1:7" x14ac:dyDescent="0.35">
      <c r="A405" t="s">
        <v>1148</v>
      </c>
      <c r="B405">
        <v>99.4</v>
      </c>
      <c r="C405">
        <v>99.4</v>
      </c>
      <c r="D405" s="2">
        <v>0.83</v>
      </c>
      <c r="E405" s="3">
        <v>9.9999999999999995E-21</v>
      </c>
      <c r="F405">
        <v>31.38</v>
      </c>
      <c r="G405" t="str">
        <f>HYPERLINK("https://www.ncbi.nlm.nih.gov/nucleotide/XM_039054931.1?report=genbank&amp;log$=nucltop&amp;blast_rank=21&amp;RID=2004P2H6013","XM_039054931.1")</f>
        <v>XM_039054931.1</v>
      </c>
    </row>
    <row r="406" spans="1:7" x14ac:dyDescent="0.35">
      <c r="A406" t="s">
        <v>1149</v>
      </c>
      <c r="B406">
        <v>86.7</v>
      </c>
      <c r="C406">
        <v>86.7</v>
      </c>
      <c r="D406" s="2">
        <v>0.84</v>
      </c>
      <c r="E406" s="3">
        <v>5E-15</v>
      </c>
      <c r="F406">
        <v>30.99</v>
      </c>
      <c r="G406" t="str">
        <f>HYPERLINK("https://www.ncbi.nlm.nih.gov/nucleotide/XM_007327296.1?report=genbank&amp;log$=nucltop&amp;blast_rank=22&amp;RID=2004P2H6013","XM_007327296.1")</f>
        <v>XM_007327296.1</v>
      </c>
    </row>
    <row r="407" spans="1:7" x14ac:dyDescent="0.35">
      <c r="A407" t="s">
        <v>1150</v>
      </c>
      <c r="B407">
        <v>95.1</v>
      </c>
      <c r="C407">
        <v>95.1</v>
      </c>
      <c r="D407" s="2">
        <v>0.84</v>
      </c>
      <c r="E407" s="3">
        <v>8.0000000000000006E-18</v>
      </c>
      <c r="F407">
        <v>30.89</v>
      </c>
      <c r="G407" t="str">
        <f>HYPERLINK("https://www.ncbi.nlm.nih.gov/nucleotide/CP052885.1?report=genbank&amp;log$=nucltop&amp;blast_rank=23&amp;RID=2004P2H6013","CP052885.1")</f>
        <v>CP052885.1</v>
      </c>
    </row>
    <row r="408" spans="1:7" x14ac:dyDescent="0.35">
      <c r="A408" t="s">
        <v>1151</v>
      </c>
      <c r="B408">
        <v>89</v>
      </c>
      <c r="C408">
        <v>89</v>
      </c>
      <c r="D408" s="2">
        <v>0.84</v>
      </c>
      <c r="E408" s="3">
        <v>1.0000000000000001E-15</v>
      </c>
      <c r="F408">
        <v>30.89</v>
      </c>
      <c r="G408" t="str">
        <f>HYPERLINK("https://www.ncbi.nlm.nih.gov/nucleotide/CU633457.1?report=genbank&amp;log$=nucltop&amp;blast_rank=24&amp;RID=2004P2H6013","CU633457.1")</f>
        <v>CU633457.1</v>
      </c>
    </row>
    <row r="409" spans="1:7" x14ac:dyDescent="0.35">
      <c r="A409" t="s">
        <v>1152</v>
      </c>
      <c r="B409">
        <v>89</v>
      </c>
      <c r="C409">
        <v>89</v>
      </c>
      <c r="D409" s="2">
        <v>0.84</v>
      </c>
      <c r="E409" s="3">
        <v>1.0000000000000001E-15</v>
      </c>
      <c r="F409">
        <v>30.89</v>
      </c>
      <c r="G409" t="str">
        <f>HYPERLINK("https://www.ncbi.nlm.nih.gov/nucleotide/FO904940.1?report=genbank&amp;log$=nucltop&amp;blast_rank=25&amp;RID=2004P2H6013","FO904940.1")</f>
        <v>FO904940.1</v>
      </c>
    </row>
    <row r="410" spans="1:7" x14ac:dyDescent="0.35">
      <c r="A410" t="s">
        <v>1153</v>
      </c>
      <c r="B410">
        <v>88.6</v>
      </c>
      <c r="C410">
        <v>88.6</v>
      </c>
      <c r="D410" s="2">
        <v>0.84</v>
      </c>
      <c r="E410" s="3">
        <v>1.0000000000000001E-15</v>
      </c>
      <c r="F410">
        <v>30.89</v>
      </c>
      <c r="G410" t="str">
        <f>HYPERLINK("https://www.ncbi.nlm.nih.gov/nucleotide/XM_001904177.1?report=genbank&amp;log$=nucltop&amp;blast_rank=26&amp;RID=2004P2H6013","XM_001904177.1")</f>
        <v>XM_001904177.1</v>
      </c>
    </row>
    <row r="411" spans="1:7" x14ac:dyDescent="0.35">
      <c r="A411" t="s">
        <v>1154</v>
      </c>
      <c r="B411">
        <v>100</v>
      </c>
      <c r="C411">
        <v>100</v>
      </c>
      <c r="D411" s="2">
        <v>0.83</v>
      </c>
      <c r="E411" s="3">
        <v>9.9999999999999998E-20</v>
      </c>
      <c r="F411">
        <v>30.77</v>
      </c>
      <c r="G411" t="str">
        <f>HYPERLINK("https://www.ncbi.nlm.nih.gov/nucleotide/XM_007271302.1?report=genbank&amp;log$=nucltop&amp;blast_rank=27&amp;RID=2004P2H6013","XM_007271302.1")</f>
        <v>XM_007271302.1</v>
      </c>
    </row>
    <row r="412" spans="1:7" x14ac:dyDescent="0.35">
      <c r="A412" t="s">
        <v>1155</v>
      </c>
      <c r="B412">
        <v>87.4</v>
      </c>
      <c r="C412">
        <v>87.4</v>
      </c>
      <c r="D412" s="2">
        <v>0.84</v>
      </c>
      <c r="E412" s="3">
        <v>2.9999999999999998E-15</v>
      </c>
      <c r="F412">
        <v>30.49</v>
      </c>
      <c r="G412" t="str">
        <f>HYPERLINK("https://www.ncbi.nlm.nih.gov/nucleotide/LR026968.1?report=genbank&amp;log$=nucltop&amp;blast_rank=28&amp;RID=2004P2H6013","LR026968.1")</f>
        <v>LR026968.1</v>
      </c>
    </row>
    <row r="413" spans="1:7" x14ac:dyDescent="0.35">
      <c r="A413" t="s">
        <v>1156</v>
      </c>
      <c r="B413">
        <v>92.4</v>
      </c>
      <c r="C413">
        <v>92.4</v>
      </c>
      <c r="D413" s="2">
        <v>0.84</v>
      </c>
      <c r="E413" s="3">
        <v>4.9999999999999999E-17</v>
      </c>
      <c r="F413">
        <v>30.42</v>
      </c>
      <c r="G413" t="str">
        <f>HYPERLINK("https://www.ncbi.nlm.nih.gov/nucleotide/XM_006461494.1?report=genbank&amp;log$=nucltop&amp;blast_rank=29&amp;RID=2004P2H6013","XM_006461494.1")</f>
        <v>XM_006461494.1</v>
      </c>
    </row>
    <row r="414" spans="1:7" x14ac:dyDescent="0.35">
      <c r="A414" t="s">
        <v>1157</v>
      </c>
      <c r="B414">
        <v>95.1</v>
      </c>
      <c r="C414">
        <v>95.1</v>
      </c>
      <c r="D414" s="2">
        <v>0.88</v>
      </c>
      <c r="E414" s="3">
        <v>5.0000000000000004E-18</v>
      </c>
      <c r="F414">
        <v>30.3</v>
      </c>
      <c r="G414" t="str">
        <f>HYPERLINK("https://www.ncbi.nlm.nih.gov/nucleotide/XM_036776291.1?report=genbank&amp;log$=nucltop&amp;blast_rank=30&amp;RID=2004P2H6013","XM_036776291.1")</f>
        <v>XM_036776291.1</v>
      </c>
    </row>
    <row r="415" spans="1:7" x14ac:dyDescent="0.35">
      <c r="A415" s="4" t="s">
        <v>1158</v>
      </c>
      <c r="B415" s="4">
        <v>92.8</v>
      </c>
      <c r="C415" s="4">
        <v>92.8</v>
      </c>
      <c r="D415" s="5">
        <v>0.91</v>
      </c>
      <c r="E415" s="6">
        <v>4.9999999999999999E-17</v>
      </c>
      <c r="F415" s="4">
        <v>30.27</v>
      </c>
      <c r="G415" s="4" t="str">
        <f>HYPERLINK("https://www.ncbi.nlm.nih.gov/nucleotide/XM_002486759.1?report=genbank&amp;log$=nucltop&amp;blast_rank=31&amp;RID=2004P2H6013","XM_002486759.1")</f>
        <v>XM_002486759.1</v>
      </c>
    </row>
    <row r="416" spans="1:7" x14ac:dyDescent="0.35">
      <c r="A416" s="4" t="s">
        <v>1159</v>
      </c>
      <c r="B416" s="4">
        <v>91.7</v>
      </c>
      <c r="C416" s="4">
        <v>91.7</v>
      </c>
      <c r="D416" s="5">
        <v>0.91</v>
      </c>
      <c r="E416" s="6">
        <v>9.9999999999999998E-17</v>
      </c>
      <c r="F416" s="4">
        <v>30.12</v>
      </c>
      <c r="G416" s="4" t="str">
        <f>HYPERLINK("https://www.ncbi.nlm.nih.gov/nucleotide/XM_002149427.1?report=genbank&amp;log$=nucltop&amp;blast_rank=32&amp;RID=2004P2H6013","XM_002149427.1")</f>
        <v>XM_002149427.1</v>
      </c>
    </row>
    <row r="417" spans="1:7" x14ac:dyDescent="0.35">
      <c r="A417" t="s">
        <v>142</v>
      </c>
      <c r="B417">
        <v>94.7</v>
      </c>
      <c r="C417">
        <v>94.7</v>
      </c>
      <c r="D417" s="2">
        <v>0.84</v>
      </c>
      <c r="E417" s="3">
        <v>1.0000000000000001E-17</v>
      </c>
      <c r="F417">
        <v>29.83</v>
      </c>
      <c r="G417" t="str">
        <f>HYPERLINK("https://www.ncbi.nlm.nih.gov/nucleotide/XM_013414727.1?report=genbank&amp;log$=nucltop&amp;blast_rank=33&amp;RID=2004P2H6013","XM_013414727.1")</f>
        <v>XM_013414727.1</v>
      </c>
    </row>
    <row r="418" spans="1:7" x14ac:dyDescent="0.35">
      <c r="A418" t="s">
        <v>81</v>
      </c>
      <c r="B418">
        <v>97.8</v>
      </c>
      <c r="C418">
        <v>97.8</v>
      </c>
      <c r="D418" s="2">
        <v>0.89</v>
      </c>
      <c r="E418" s="3">
        <v>7.9999999999999998E-19</v>
      </c>
      <c r="F418">
        <v>29.77</v>
      </c>
      <c r="G418" t="str">
        <f>HYPERLINK("https://www.ncbi.nlm.nih.gov/nucleotide/XM_011330564.1?report=genbank&amp;log$=nucltop&amp;blast_rank=34&amp;RID=2004P2H6013","XM_011330564.1")</f>
        <v>XM_011330564.1</v>
      </c>
    </row>
    <row r="419" spans="1:7" x14ac:dyDescent="0.35">
      <c r="A419" t="s">
        <v>1160</v>
      </c>
      <c r="B419">
        <v>97.8</v>
      </c>
      <c r="C419">
        <v>158</v>
      </c>
      <c r="D419" s="2">
        <v>0.94</v>
      </c>
      <c r="E419" s="3">
        <v>1.0000000000000001E-18</v>
      </c>
      <c r="F419">
        <v>29.77</v>
      </c>
      <c r="G419" t="str">
        <f>HYPERLINK("https://www.ncbi.nlm.nih.gov/nucleotide/HG970335.2?report=genbank&amp;log$=nucltop&amp;blast_rank=35&amp;RID=2004P2H6013","HG970335.2")</f>
        <v>HG970335.2</v>
      </c>
    </row>
    <row r="420" spans="1:7" x14ac:dyDescent="0.35">
      <c r="A420" s="4" t="s">
        <v>1161</v>
      </c>
      <c r="B420" s="4">
        <v>103</v>
      </c>
      <c r="C420" s="4">
        <v>103</v>
      </c>
      <c r="D420" s="5">
        <v>0.95</v>
      </c>
      <c r="E420" s="6">
        <v>7.0000000000000007E-21</v>
      </c>
      <c r="F420" s="4">
        <v>29.74</v>
      </c>
      <c r="G420" s="4" t="str">
        <f>HYPERLINK("https://www.ncbi.nlm.nih.gov/nucleotide/XM_007269764.1?report=genbank&amp;log$=nucltop&amp;blast_rank=36&amp;RID=2004P2H6013","XM_007269764.1")</f>
        <v>XM_007269764.1</v>
      </c>
    </row>
    <row r="421" spans="1:7" x14ac:dyDescent="0.35">
      <c r="A421" s="4" t="s">
        <v>1162</v>
      </c>
      <c r="B421" s="4">
        <v>96.7</v>
      </c>
      <c r="C421" s="4">
        <v>96.7</v>
      </c>
      <c r="D421" s="5">
        <v>0.95</v>
      </c>
      <c r="E421" s="6">
        <v>2.0000000000000001E-18</v>
      </c>
      <c r="F421" s="4">
        <v>29.74</v>
      </c>
      <c r="G421" s="4" t="str">
        <f>HYPERLINK("https://www.ncbi.nlm.nih.gov/nucleotide/XM_007262508.1?report=genbank&amp;log$=nucltop&amp;blast_rank=37&amp;RID=2004P2H6013","XM_007262508.1")</f>
        <v>XM_007262508.1</v>
      </c>
    </row>
    <row r="422" spans="1:7" x14ac:dyDescent="0.35">
      <c r="A422" t="s">
        <v>1163</v>
      </c>
      <c r="B422">
        <v>87.8</v>
      </c>
      <c r="C422">
        <v>87.8</v>
      </c>
      <c r="D422" s="2">
        <v>0.83</v>
      </c>
      <c r="E422" s="3">
        <v>2.9999999999999998E-15</v>
      </c>
      <c r="F422">
        <v>29.63</v>
      </c>
      <c r="G422" t="str">
        <f>HYPERLINK("https://www.ncbi.nlm.nih.gov/nucleotide/CP052043.1?report=genbank&amp;log$=nucltop&amp;blast_rank=38&amp;RID=2004P2H6013","CP052043.1")</f>
        <v>CP052043.1</v>
      </c>
    </row>
    <row r="423" spans="1:7" x14ac:dyDescent="0.35">
      <c r="A423" t="s">
        <v>1164</v>
      </c>
      <c r="B423">
        <v>87.8</v>
      </c>
      <c r="C423">
        <v>164</v>
      </c>
      <c r="D423" s="2">
        <v>0.84</v>
      </c>
      <c r="E423" s="3">
        <v>2.9999999999999998E-15</v>
      </c>
      <c r="F423">
        <v>29.63</v>
      </c>
      <c r="G423" t="str">
        <f>HYPERLINK("https://www.ncbi.nlm.nih.gov/nucleotide/CP053264.1?report=genbank&amp;log$=nucltop&amp;blast_rank=39&amp;RID=2004P2H6013","CP053264.1")</f>
        <v>CP053264.1</v>
      </c>
    </row>
    <row r="424" spans="1:7" x14ac:dyDescent="0.35">
      <c r="A424" t="s">
        <v>1165</v>
      </c>
      <c r="B424">
        <v>87.4</v>
      </c>
      <c r="C424">
        <v>87.4</v>
      </c>
      <c r="D424" s="2">
        <v>0.84</v>
      </c>
      <c r="E424" s="3">
        <v>2.0000000000000002E-15</v>
      </c>
      <c r="F424">
        <v>29.58</v>
      </c>
      <c r="G424" t="str">
        <f>HYPERLINK("https://www.ncbi.nlm.nih.gov/nucleotide/XM_007327316.1?report=genbank&amp;log$=nucltop&amp;blast_rank=40&amp;RID=2004P2H6013","XM_007327316.1")</f>
        <v>XM_007327316.1</v>
      </c>
    </row>
    <row r="425" spans="1:7" x14ac:dyDescent="0.35">
      <c r="A425" t="s">
        <v>1166</v>
      </c>
      <c r="B425">
        <v>87.8</v>
      </c>
      <c r="C425">
        <v>87.8</v>
      </c>
      <c r="D425" s="2">
        <v>0.99</v>
      </c>
      <c r="E425" s="3">
        <v>2.0000000000000002E-15</v>
      </c>
      <c r="F425">
        <v>29.51</v>
      </c>
      <c r="G425" t="str">
        <f>HYPERLINK("https://www.ncbi.nlm.nih.gov/nucleotide/XM_033703067.1?report=genbank&amp;log$=nucltop&amp;blast_rank=41&amp;RID=2004P2H6013","XM_033703067.1")</f>
        <v>XM_033703067.1</v>
      </c>
    </row>
    <row r="426" spans="1:7" x14ac:dyDescent="0.35">
      <c r="A426" t="s">
        <v>1167</v>
      </c>
      <c r="B426">
        <v>86.3</v>
      </c>
      <c r="C426">
        <v>86.3</v>
      </c>
      <c r="D426" s="2">
        <v>0.97</v>
      </c>
      <c r="E426" s="3">
        <v>7.0000000000000001E-15</v>
      </c>
      <c r="F426">
        <v>29.41</v>
      </c>
      <c r="G426" t="str">
        <f>HYPERLINK("https://www.ncbi.nlm.nih.gov/nucleotide/XM_024550428.1?report=genbank&amp;log$=nucltop&amp;blast_rank=42&amp;RID=2004P2H6013","XM_024550428.1")</f>
        <v>XM_024550428.1</v>
      </c>
    </row>
    <row r="427" spans="1:7" x14ac:dyDescent="0.35">
      <c r="A427" t="s">
        <v>1168</v>
      </c>
      <c r="B427">
        <v>95.1</v>
      </c>
      <c r="C427">
        <v>176</v>
      </c>
      <c r="D427" s="2">
        <v>0.85</v>
      </c>
      <c r="E427" s="3">
        <v>8.0000000000000006E-18</v>
      </c>
      <c r="F427">
        <v>29.39</v>
      </c>
      <c r="G427" t="str">
        <f>HYPERLINK("https://www.ncbi.nlm.nih.gov/nucleotide/HG970332.2?report=genbank&amp;log$=nucltop&amp;blast_rank=43&amp;RID=2004P2H6013","HG970332.2")</f>
        <v>HG970332.2</v>
      </c>
    </row>
    <row r="428" spans="1:7" x14ac:dyDescent="0.35">
      <c r="A428" t="s">
        <v>81</v>
      </c>
      <c r="B428">
        <v>94.4</v>
      </c>
      <c r="C428">
        <v>94.4</v>
      </c>
      <c r="D428" s="2">
        <v>0.84</v>
      </c>
      <c r="E428" s="3">
        <v>1.0000000000000001E-17</v>
      </c>
      <c r="F428">
        <v>29.39</v>
      </c>
      <c r="G428" t="str">
        <f>HYPERLINK("https://www.ncbi.nlm.nih.gov/nucleotide/XM_011321336.1?report=genbank&amp;log$=nucltop&amp;blast_rank=44&amp;RID=2004P2H6013","XM_011321336.1")</f>
        <v>XM_011321336.1</v>
      </c>
    </row>
    <row r="429" spans="1:7" x14ac:dyDescent="0.35">
      <c r="A429" t="s">
        <v>1169</v>
      </c>
      <c r="B429">
        <v>88.2</v>
      </c>
      <c r="C429">
        <v>88.2</v>
      </c>
      <c r="D429" s="2">
        <v>0.84</v>
      </c>
      <c r="E429" s="3">
        <v>2.0000000000000002E-15</v>
      </c>
      <c r="F429">
        <v>29.39</v>
      </c>
      <c r="G429" t="str">
        <f>HYPERLINK("https://www.ncbi.nlm.nih.gov/nucleotide/XM_018401832.1?report=genbank&amp;log$=nucltop&amp;blast_rank=45&amp;RID=2004P2H6013","XM_018401832.1")</f>
        <v>XM_018401832.1</v>
      </c>
    </row>
    <row r="430" spans="1:7" x14ac:dyDescent="0.35">
      <c r="A430" t="s">
        <v>1170</v>
      </c>
      <c r="B430">
        <v>96.7</v>
      </c>
      <c r="C430">
        <v>157</v>
      </c>
      <c r="D430" s="2">
        <v>0.98</v>
      </c>
      <c r="E430" s="3">
        <v>2.9999999999999998E-18</v>
      </c>
      <c r="F430">
        <v>29.37</v>
      </c>
      <c r="G430" t="str">
        <f>HYPERLINK("https://www.ncbi.nlm.nih.gov/nucleotide/LT222056.1?report=genbank&amp;log$=nucltop&amp;blast_rank=46&amp;RID=2004P2H6013","LT222056.1")</f>
        <v>LT222056.1</v>
      </c>
    </row>
    <row r="431" spans="1:7" x14ac:dyDescent="0.35">
      <c r="A431" t="s">
        <v>1171</v>
      </c>
      <c r="B431">
        <v>94.4</v>
      </c>
      <c r="C431">
        <v>94.4</v>
      </c>
      <c r="D431" s="2">
        <v>0.91</v>
      </c>
      <c r="E431" s="3">
        <v>1.0000000000000001E-17</v>
      </c>
      <c r="F431">
        <v>29.34</v>
      </c>
      <c r="G431" t="str">
        <f>HYPERLINK("https://www.ncbi.nlm.nih.gov/nucleotide/CP015871.1?report=genbank&amp;log$=nucltop&amp;blast_rank=47&amp;RID=2004P2H6013","CP015871.1")</f>
        <v>CP015871.1</v>
      </c>
    </row>
    <row r="432" spans="1:7" x14ac:dyDescent="0.35">
      <c r="A432" t="s">
        <v>1172</v>
      </c>
      <c r="B432">
        <v>93.2</v>
      </c>
      <c r="C432">
        <v>93.2</v>
      </c>
      <c r="D432" s="2">
        <v>0.91</v>
      </c>
      <c r="E432" s="3">
        <v>4.9999999999999999E-17</v>
      </c>
      <c r="F432">
        <v>29.34</v>
      </c>
      <c r="G432" t="str">
        <f>HYPERLINK("https://www.ncbi.nlm.nih.gov/nucleotide/CP045657.1?report=genbank&amp;log$=nucltop&amp;blast_rank=48&amp;RID=2004P2H6013","CP045657.1")</f>
        <v>CP045657.1</v>
      </c>
    </row>
    <row r="433" spans="1:7" x14ac:dyDescent="0.35">
      <c r="A433" t="s">
        <v>1173</v>
      </c>
      <c r="B433">
        <v>102</v>
      </c>
      <c r="C433">
        <v>102</v>
      </c>
      <c r="D433" s="2">
        <v>0.83</v>
      </c>
      <c r="E433" s="3">
        <v>3.0000000000000003E-20</v>
      </c>
      <c r="F433">
        <v>29.34</v>
      </c>
      <c r="G433" t="str">
        <f>HYPERLINK("https://www.ncbi.nlm.nih.gov/nucleotide/XM_036781181.1?report=genbank&amp;log$=nucltop&amp;blast_rank=49&amp;RID=2004P2H6013","XM_036781181.1")</f>
        <v>XM_036781181.1</v>
      </c>
    </row>
    <row r="434" spans="1:7" x14ac:dyDescent="0.35">
      <c r="A434" t="s">
        <v>1174</v>
      </c>
      <c r="B434">
        <v>100</v>
      </c>
      <c r="C434">
        <v>100</v>
      </c>
      <c r="D434" s="2">
        <v>0.97</v>
      </c>
      <c r="E434" s="3">
        <v>9.9999999999999998E-20</v>
      </c>
      <c r="F434">
        <v>29.31</v>
      </c>
      <c r="G434" t="str">
        <f>HYPERLINK("https://www.ncbi.nlm.nih.gov/nucleotide/XM_028630525.1?report=genbank&amp;log$=nucltop&amp;blast_rank=50&amp;RID=2004P2H6013","XM_028630525.1")</f>
        <v>XM_028630525.1</v>
      </c>
    </row>
    <row r="435" spans="1:7" x14ac:dyDescent="0.35">
      <c r="A435" s="4" t="s">
        <v>1175</v>
      </c>
      <c r="B435" s="4">
        <v>89.4</v>
      </c>
      <c r="C435" s="4">
        <v>89.4</v>
      </c>
      <c r="D435" s="5">
        <v>0.84</v>
      </c>
      <c r="E435" s="6">
        <v>5.9999999999999999E-16</v>
      </c>
      <c r="F435" s="4">
        <v>29.27</v>
      </c>
      <c r="G435" s="4" t="str">
        <f>HYPERLINK("https://www.ncbi.nlm.nih.gov/nucleotide/XM_007269854.1?report=genbank&amp;log$=nucltop&amp;blast_rank=51&amp;RID=2004P2H6013","XM_007269854.1")</f>
        <v>XM_007269854.1</v>
      </c>
    </row>
    <row r="436" spans="1:7" x14ac:dyDescent="0.35">
      <c r="A436" t="s">
        <v>1176</v>
      </c>
      <c r="B436">
        <v>95.5</v>
      </c>
      <c r="C436">
        <v>95.5</v>
      </c>
      <c r="D436" s="2">
        <v>0.97</v>
      </c>
      <c r="E436" s="3">
        <v>5.9999999999999997E-18</v>
      </c>
      <c r="F436">
        <v>29.23</v>
      </c>
      <c r="G436" t="str">
        <f>HYPERLINK("https://www.ncbi.nlm.nih.gov/nucleotide/XM_025726147.1?report=genbank&amp;log$=nucltop&amp;blast_rank=52&amp;RID=2004P2H6013","XM_025726147.1")</f>
        <v>XM_025726147.1</v>
      </c>
    </row>
    <row r="437" spans="1:7" x14ac:dyDescent="0.35">
      <c r="A437" t="s">
        <v>1177</v>
      </c>
      <c r="B437">
        <v>95.1</v>
      </c>
      <c r="C437">
        <v>249</v>
      </c>
      <c r="D437" s="2">
        <v>0.98</v>
      </c>
      <c r="E437" s="3">
        <v>8.0000000000000006E-18</v>
      </c>
      <c r="F437">
        <v>29.23</v>
      </c>
      <c r="G437" t="str">
        <f>HYPERLINK("https://www.ncbi.nlm.nih.gov/nucleotide/LN649231.1?report=genbank&amp;log$=nucltop&amp;blast_rank=53&amp;RID=2004P2H6013","LN649231.1")</f>
        <v>LN649231.1</v>
      </c>
    </row>
    <row r="438" spans="1:7" x14ac:dyDescent="0.35">
      <c r="A438" t="s">
        <v>1178</v>
      </c>
      <c r="B438">
        <v>86.3</v>
      </c>
      <c r="C438">
        <v>86.3</v>
      </c>
      <c r="D438" s="2">
        <v>0.84</v>
      </c>
      <c r="E438" s="3">
        <v>5.9999999999999997E-15</v>
      </c>
      <c r="F438">
        <v>29.17</v>
      </c>
      <c r="G438" t="str">
        <f>HYPERLINK("https://www.ncbi.nlm.nih.gov/nucleotide/XM_006459647.1?report=genbank&amp;log$=nucltop&amp;blast_rank=54&amp;RID=2004P2H6013","XM_006459647.1")</f>
        <v>XM_006459647.1</v>
      </c>
    </row>
    <row r="439" spans="1:7" x14ac:dyDescent="0.35">
      <c r="A439" t="s">
        <v>1179</v>
      </c>
      <c r="B439">
        <v>86.7</v>
      </c>
      <c r="C439">
        <v>86.7</v>
      </c>
      <c r="D439" s="2">
        <v>0.83</v>
      </c>
      <c r="E439" s="3">
        <v>5.9999999999999997E-15</v>
      </c>
      <c r="F439">
        <v>29.15</v>
      </c>
      <c r="G439" t="str">
        <f>HYPERLINK("https://www.ncbi.nlm.nih.gov/nucleotide/XM_036781164.1?report=genbank&amp;log$=nucltop&amp;blast_rank=55&amp;RID=2004P2H6013","XM_036781164.1")</f>
        <v>XM_036781164.1</v>
      </c>
    </row>
    <row r="440" spans="1:7" x14ac:dyDescent="0.35">
      <c r="A440" t="s">
        <v>1180</v>
      </c>
      <c r="B440">
        <v>90.5</v>
      </c>
      <c r="C440">
        <v>90.5</v>
      </c>
      <c r="D440" s="2">
        <v>0.88</v>
      </c>
      <c r="E440" s="3">
        <v>2E-16</v>
      </c>
      <c r="F440">
        <v>29.08</v>
      </c>
      <c r="G440" t="str">
        <f>HYPERLINK("https://www.ncbi.nlm.nih.gov/nucleotide/XM_039068136.1?report=genbank&amp;log$=nucltop&amp;blast_rank=56&amp;RID=2004P2H6013","XM_039068136.1")</f>
        <v>XM_039068136.1</v>
      </c>
    </row>
    <row r="441" spans="1:7" x14ac:dyDescent="0.35">
      <c r="A441" t="s">
        <v>1181</v>
      </c>
      <c r="B441">
        <v>89.7</v>
      </c>
      <c r="C441">
        <v>89.7</v>
      </c>
      <c r="D441" s="2">
        <v>1</v>
      </c>
      <c r="E441" s="3">
        <v>3.9999999999999999E-16</v>
      </c>
      <c r="F441">
        <v>29.07</v>
      </c>
      <c r="G441" t="str">
        <f>HYPERLINK("https://www.ncbi.nlm.nih.gov/nucleotide/XM_037308298.1?report=genbank&amp;log$=nucltop&amp;blast_rank=57&amp;RID=2004P2H6013","XM_037308298.1")</f>
        <v>XM_037308298.1</v>
      </c>
    </row>
    <row r="442" spans="1:7" x14ac:dyDescent="0.35">
      <c r="A442" t="s">
        <v>1182</v>
      </c>
      <c r="B442">
        <v>88.2</v>
      </c>
      <c r="C442">
        <v>88.2</v>
      </c>
      <c r="D442" s="2">
        <v>1</v>
      </c>
      <c r="E442" s="3">
        <v>2.0000000000000002E-15</v>
      </c>
      <c r="F442">
        <v>29.07</v>
      </c>
      <c r="G442" t="str">
        <f>HYPERLINK("https://www.ncbi.nlm.nih.gov/nucleotide/XM_037297721.1?report=genbank&amp;log$=nucltop&amp;blast_rank=58&amp;RID=2004P2H6013","XM_037297721.1")</f>
        <v>XM_037297721.1</v>
      </c>
    </row>
    <row r="443" spans="1:7" x14ac:dyDescent="0.35">
      <c r="A443" t="s">
        <v>1183</v>
      </c>
      <c r="B443">
        <v>106</v>
      </c>
      <c r="C443">
        <v>106</v>
      </c>
      <c r="D443" s="2">
        <v>0.96</v>
      </c>
      <c r="E443" s="3">
        <v>9.9999999999999991E-22</v>
      </c>
      <c r="F443">
        <v>29.04</v>
      </c>
      <c r="G443" t="str">
        <f>HYPERLINK("https://www.ncbi.nlm.nih.gov/nucleotide/XM_007313085.1?report=genbank&amp;log$=nucltop&amp;blast_rank=59&amp;RID=2004P2H6013","XM_007313085.1")</f>
        <v>XM_007313085.1</v>
      </c>
    </row>
    <row r="444" spans="1:7" x14ac:dyDescent="0.35">
      <c r="A444" t="s">
        <v>1184</v>
      </c>
      <c r="B444">
        <v>87.8</v>
      </c>
      <c r="C444">
        <v>87.8</v>
      </c>
      <c r="D444" s="2">
        <v>0.83</v>
      </c>
      <c r="E444" s="3">
        <v>2.9999999999999998E-15</v>
      </c>
      <c r="F444">
        <v>29.03</v>
      </c>
      <c r="G444" t="str">
        <f>HYPERLINK("https://www.ncbi.nlm.nih.gov/nucleotide/XM_024476922.1?report=genbank&amp;log$=nucltop&amp;blast_rank=60&amp;RID=2004P2H6013","XM_024476922.1")</f>
        <v>XM_024476922.1</v>
      </c>
    </row>
    <row r="445" spans="1:7" x14ac:dyDescent="0.35">
      <c r="A445" t="s">
        <v>1185</v>
      </c>
      <c r="B445">
        <v>92.4</v>
      </c>
      <c r="C445">
        <v>92.4</v>
      </c>
      <c r="D445" s="2">
        <v>0.88</v>
      </c>
      <c r="E445" s="3">
        <v>4.9999999999999999E-17</v>
      </c>
      <c r="F445">
        <v>29.02</v>
      </c>
      <c r="G445" t="str">
        <f>HYPERLINK("https://www.ncbi.nlm.nih.gov/nucleotide/XM_039055152.1?report=genbank&amp;log$=nucltop&amp;blast_rank=61&amp;RID=2004P2H6013","XM_039055152.1")</f>
        <v>XM_039055152.1</v>
      </c>
    </row>
    <row r="446" spans="1:7" x14ac:dyDescent="0.35">
      <c r="A446" s="4" t="s">
        <v>1186</v>
      </c>
      <c r="B446" s="4">
        <v>101</v>
      </c>
      <c r="C446" s="4">
        <v>101</v>
      </c>
      <c r="D446" s="5">
        <v>0.95</v>
      </c>
      <c r="E446" s="6">
        <v>4.9999999999999999E-20</v>
      </c>
      <c r="F446" s="4">
        <v>29</v>
      </c>
      <c r="G446" s="4" t="str">
        <f>HYPERLINK("https://www.ncbi.nlm.nih.gov/nucleotide/XM_007264810.1?report=genbank&amp;log$=nucltop&amp;blast_rank=62&amp;RID=2004P2H6013","XM_007264810.1")</f>
        <v>XM_007264810.1</v>
      </c>
    </row>
    <row r="447" spans="1:7" x14ac:dyDescent="0.35">
      <c r="A447" s="4" t="s">
        <v>1187</v>
      </c>
      <c r="B447" s="4">
        <v>100</v>
      </c>
      <c r="C447" s="4">
        <v>100</v>
      </c>
      <c r="D447" s="5">
        <v>0.95</v>
      </c>
      <c r="E447" s="6">
        <v>9.9999999999999998E-20</v>
      </c>
      <c r="F447" s="4">
        <v>29</v>
      </c>
      <c r="G447" s="4" t="str">
        <f>HYPERLINK("https://www.ncbi.nlm.nih.gov/nucleotide/XM_007270080.1?report=genbank&amp;log$=nucltop&amp;blast_rank=63&amp;RID=2004P2H6013","XM_007270080.1")</f>
        <v>XM_007270080.1</v>
      </c>
    </row>
    <row r="448" spans="1:7" x14ac:dyDescent="0.35">
      <c r="A448" t="s">
        <v>602</v>
      </c>
      <c r="B448">
        <v>93.2</v>
      </c>
      <c r="C448">
        <v>1691</v>
      </c>
      <c r="D448" s="2">
        <v>0.98</v>
      </c>
      <c r="E448" s="3">
        <v>4.0000000000000003E-17</v>
      </c>
      <c r="F448">
        <v>28.98</v>
      </c>
      <c r="G448" t="str">
        <f>HYPERLINK("https://www.ncbi.nlm.nih.gov/nucleotide/CP015475.1?report=genbank&amp;log$=nucltop&amp;blast_rank=64&amp;RID=2004P2H6013","CP015475.1")</f>
        <v>CP015475.1</v>
      </c>
    </row>
    <row r="449" spans="1:7" x14ac:dyDescent="0.35">
      <c r="A449" t="s">
        <v>1188</v>
      </c>
      <c r="B449">
        <v>94</v>
      </c>
      <c r="C449">
        <v>94</v>
      </c>
      <c r="D449" s="2">
        <v>0.84</v>
      </c>
      <c r="E449" s="3">
        <v>2.0000000000000001E-17</v>
      </c>
      <c r="F449">
        <v>28.94</v>
      </c>
      <c r="G449" t="str">
        <f>HYPERLINK("https://www.ncbi.nlm.nih.gov/nucleotide/XM_007261963.1?report=genbank&amp;log$=nucltop&amp;blast_rank=65&amp;RID=2004P2H6013","XM_007261963.1")</f>
        <v>XM_007261963.1</v>
      </c>
    </row>
    <row r="450" spans="1:7" x14ac:dyDescent="0.35">
      <c r="A450" t="s">
        <v>600</v>
      </c>
      <c r="B450">
        <v>93.2</v>
      </c>
      <c r="C450">
        <v>2007</v>
      </c>
      <c r="D450" s="2">
        <v>0.98</v>
      </c>
      <c r="E450" s="3">
        <v>3.0000000000000001E-17</v>
      </c>
      <c r="F450">
        <v>28.92</v>
      </c>
      <c r="G450" t="str">
        <f>HYPERLINK("https://www.ncbi.nlm.nih.gov/nucleotide/CP039878.1?report=genbank&amp;log$=nucltop&amp;blast_rank=66&amp;RID=2004P2H6013","CP039878.1")</f>
        <v>CP039878.1</v>
      </c>
    </row>
    <row r="451" spans="1:7" x14ac:dyDescent="0.35">
      <c r="A451" t="s">
        <v>1189</v>
      </c>
      <c r="B451">
        <v>93.6</v>
      </c>
      <c r="C451">
        <v>93.6</v>
      </c>
      <c r="D451" s="2">
        <v>0.84</v>
      </c>
      <c r="E451" s="3">
        <v>3.0000000000000001E-17</v>
      </c>
      <c r="F451">
        <v>28.81</v>
      </c>
      <c r="G451" t="str">
        <f>HYPERLINK("https://www.ncbi.nlm.nih.gov/nucleotide/XM_007261902.1?report=genbank&amp;log$=nucltop&amp;blast_rank=67&amp;RID=2004P2H6013","XM_007261902.1")</f>
        <v>XM_007261902.1</v>
      </c>
    </row>
    <row r="452" spans="1:7" x14ac:dyDescent="0.35">
      <c r="A452" t="s">
        <v>1190</v>
      </c>
      <c r="B452">
        <v>93.6</v>
      </c>
      <c r="C452">
        <v>93.6</v>
      </c>
      <c r="D452" s="2">
        <v>0.99</v>
      </c>
      <c r="E452" s="3">
        <v>3.0000000000000001E-17</v>
      </c>
      <c r="F452">
        <v>28.77</v>
      </c>
      <c r="G452" t="str">
        <f>HYPERLINK("https://www.ncbi.nlm.nih.gov/nucleotide/CP053260.1?report=genbank&amp;log$=nucltop&amp;blast_rank=68&amp;RID=2004P2H6013","CP053260.1")</f>
        <v>CP053260.1</v>
      </c>
    </row>
    <row r="453" spans="1:7" x14ac:dyDescent="0.35">
      <c r="A453" t="s">
        <v>1191</v>
      </c>
      <c r="B453">
        <v>86.7</v>
      </c>
      <c r="C453">
        <v>86.7</v>
      </c>
      <c r="D453" s="2">
        <v>0.84</v>
      </c>
      <c r="E453" s="3">
        <v>5E-15</v>
      </c>
      <c r="F453">
        <v>28.75</v>
      </c>
      <c r="G453" t="str">
        <f>HYPERLINK("https://www.ncbi.nlm.nih.gov/nucleotide/XM_025643206.1?report=genbank&amp;log$=nucltop&amp;blast_rank=69&amp;RID=2004P2H6013","XM_025643206.1")</f>
        <v>XM_025643206.1</v>
      </c>
    </row>
    <row r="454" spans="1:7" x14ac:dyDescent="0.35">
      <c r="A454" t="s">
        <v>1192</v>
      </c>
      <c r="B454">
        <v>93.2</v>
      </c>
      <c r="C454">
        <v>93.2</v>
      </c>
      <c r="D454" s="2">
        <v>0.99</v>
      </c>
      <c r="E454" s="3">
        <v>4.0000000000000003E-17</v>
      </c>
      <c r="F454">
        <v>28.72</v>
      </c>
      <c r="G454" t="str">
        <f>HYPERLINK("https://www.ncbi.nlm.nih.gov/nucleotide/XM_018397342.1?report=genbank&amp;log$=nucltop&amp;blast_rank=70&amp;RID=2004P2H6013","XM_018397342.1")</f>
        <v>XM_018397342.1</v>
      </c>
    </row>
    <row r="455" spans="1:7" x14ac:dyDescent="0.35">
      <c r="A455" t="s">
        <v>1193</v>
      </c>
      <c r="B455">
        <v>86.7</v>
      </c>
      <c r="C455">
        <v>86.7</v>
      </c>
      <c r="D455" s="2">
        <v>0.86</v>
      </c>
      <c r="E455" s="3">
        <v>5.9999999999999997E-15</v>
      </c>
      <c r="F455">
        <v>28.69</v>
      </c>
      <c r="G455" t="str">
        <f>HYPERLINK("https://www.ncbi.nlm.nih.gov/nucleotide/XM_022540472.1?report=genbank&amp;log$=nucltop&amp;blast_rank=71&amp;RID=2004P2H6013","XM_022540472.1")</f>
        <v>XM_022540472.1</v>
      </c>
    </row>
    <row r="456" spans="1:7" x14ac:dyDescent="0.35">
      <c r="A456" t="s">
        <v>1194</v>
      </c>
      <c r="B456">
        <v>104</v>
      </c>
      <c r="C456">
        <v>104</v>
      </c>
      <c r="D456" s="2">
        <v>0.93</v>
      </c>
      <c r="E456" s="3">
        <v>3.9999999999999996E-21</v>
      </c>
      <c r="F456">
        <v>28.63</v>
      </c>
      <c r="G456" t="str">
        <f>HYPERLINK("https://www.ncbi.nlm.nih.gov/nucleotide/XM_007271144.1?report=genbank&amp;log$=nucltop&amp;blast_rank=72&amp;RID=2004P2H6013","XM_007271144.1")</f>
        <v>XM_007271144.1</v>
      </c>
    </row>
    <row r="457" spans="1:7" x14ac:dyDescent="0.35">
      <c r="A457" t="s">
        <v>1195</v>
      </c>
      <c r="B457">
        <v>95.9</v>
      </c>
      <c r="C457">
        <v>95.9</v>
      </c>
      <c r="D457" s="2">
        <v>0.95</v>
      </c>
      <c r="E457" s="3">
        <v>4.0000000000000003E-18</v>
      </c>
      <c r="F457">
        <v>28.57</v>
      </c>
      <c r="G457" t="str">
        <f>HYPERLINK("https://www.ncbi.nlm.nih.gov/nucleotide/XM_007271244.1?report=genbank&amp;log$=nucltop&amp;blast_rank=73&amp;RID=2004P2H6013","XM_007271244.1")</f>
        <v>XM_007271244.1</v>
      </c>
    </row>
    <row r="458" spans="1:7" x14ac:dyDescent="0.35">
      <c r="A458" t="s">
        <v>1196</v>
      </c>
      <c r="B458">
        <v>94.4</v>
      </c>
      <c r="C458">
        <v>94.4</v>
      </c>
      <c r="D458" s="2">
        <v>0.98</v>
      </c>
      <c r="E458" s="3">
        <v>6.9999999999999997E-18</v>
      </c>
      <c r="F458">
        <v>28.57</v>
      </c>
      <c r="G458" t="str">
        <f>HYPERLINK("https://www.ncbi.nlm.nih.gov/nucleotide/XM_006461489.1?report=genbank&amp;log$=nucltop&amp;blast_rank=74&amp;RID=2004P2H6013","XM_006461489.1")</f>
        <v>XM_006461489.1</v>
      </c>
    </row>
    <row r="459" spans="1:7" x14ac:dyDescent="0.35">
      <c r="A459" t="s">
        <v>599</v>
      </c>
      <c r="B459">
        <v>94</v>
      </c>
      <c r="C459">
        <v>1370</v>
      </c>
      <c r="D459" s="2">
        <v>0.98</v>
      </c>
      <c r="E459" s="3">
        <v>2.0000000000000001E-17</v>
      </c>
      <c r="F459">
        <v>28.57</v>
      </c>
      <c r="G459" t="str">
        <f>HYPERLINK("https://www.ncbi.nlm.nih.gov/nucleotide/CP015462.1?report=genbank&amp;log$=nucltop&amp;blast_rank=75&amp;RID=2004P2H6013","CP015462.1")</f>
        <v>CP015462.1</v>
      </c>
    </row>
    <row r="460" spans="1:7" x14ac:dyDescent="0.35">
      <c r="A460" t="s">
        <v>1197</v>
      </c>
      <c r="B460">
        <v>87.4</v>
      </c>
      <c r="C460">
        <v>87.4</v>
      </c>
      <c r="D460" s="2">
        <v>0.9</v>
      </c>
      <c r="E460" s="3">
        <v>2.9999999999999998E-15</v>
      </c>
      <c r="F460">
        <v>28.57</v>
      </c>
      <c r="G460" t="str">
        <f>HYPERLINK("https://www.ncbi.nlm.nih.gov/nucleotide/XM_024550965.1?report=genbank&amp;log$=nucltop&amp;blast_rank=76&amp;RID=2004P2H6013","XM_024550965.1")</f>
        <v>XM_024550965.1</v>
      </c>
    </row>
    <row r="461" spans="1:7" x14ac:dyDescent="0.35">
      <c r="A461" t="s">
        <v>1198</v>
      </c>
      <c r="B461">
        <v>90.1</v>
      </c>
      <c r="C461">
        <v>90.1</v>
      </c>
      <c r="D461" s="2">
        <v>0.85</v>
      </c>
      <c r="E461" s="3">
        <v>3.9999999999999999E-16</v>
      </c>
      <c r="F461">
        <v>28.51</v>
      </c>
      <c r="G461" t="str">
        <f>HYPERLINK("https://www.ncbi.nlm.nih.gov/nucleotide/CP064907.1?report=genbank&amp;log$=nucltop&amp;blast_rank=77&amp;RID=2004P2H6013","CP064907.1")</f>
        <v>CP064907.1</v>
      </c>
    </row>
    <row r="462" spans="1:7" x14ac:dyDescent="0.35">
      <c r="A462" t="s">
        <v>1199</v>
      </c>
      <c r="B462">
        <v>94.4</v>
      </c>
      <c r="C462">
        <v>94.4</v>
      </c>
      <c r="D462" s="2">
        <v>0.97</v>
      </c>
      <c r="E462" s="3">
        <v>2.0000000000000001E-17</v>
      </c>
      <c r="F462">
        <v>28.47</v>
      </c>
      <c r="G462" t="str">
        <f>HYPERLINK("https://www.ncbi.nlm.nih.gov/nucleotide/XM_007261820.1?report=genbank&amp;log$=nucltop&amp;blast_rank=78&amp;RID=2004P2H6013","XM_007261820.1")</f>
        <v>XM_007261820.1</v>
      </c>
    </row>
    <row r="463" spans="1:7" x14ac:dyDescent="0.35">
      <c r="A463" t="s">
        <v>1200</v>
      </c>
      <c r="B463">
        <v>91.7</v>
      </c>
      <c r="C463">
        <v>91.7</v>
      </c>
      <c r="D463" s="2">
        <v>0.92</v>
      </c>
      <c r="E463" s="3">
        <v>9.9999999999999998E-17</v>
      </c>
      <c r="F463">
        <v>28.46</v>
      </c>
      <c r="G463" t="str">
        <f>HYPERLINK("https://www.ncbi.nlm.nih.gov/nucleotide/XM_025726127.1?report=genbank&amp;log$=nucltop&amp;blast_rank=79&amp;RID=2004P2H6013","XM_025726127.1")</f>
        <v>XM_025726127.1</v>
      </c>
    </row>
    <row r="464" spans="1:7" x14ac:dyDescent="0.35">
      <c r="A464" t="s">
        <v>1201</v>
      </c>
      <c r="B464">
        <v>91.3</v>
      </c>
      <c r="C464">
        <v>460</v>
      </c>
      <c r="D464" s="2">
        <v>0.99</v>
      </c>
      <c r="E464" s="3">
        <v>2E-16</v>
      </c>
      <c r="F464">
        <v>28.37</v>
      </c>
      <c r="G464" t="str">
        <f>HYPERLINK("https://www.ncbi.nlm.nih.gov/nucleotide/CP053271.1?report=genbank&amp;log$=nucltop&amp;blast_rank=80&amp;RID=2004P2H6013","CP053271.1")</f>
        <v>CP053271.1</v>
      </c>
    </row>
    <row r="465" spans="1:7" x14ac:dyDescent="0.35">
      <c r="A465" t="s">
        <v>1202</v>
      </c>
      <c r="B465">
        <v>88.6</v>
      </c>
      <c r="C465">
        <v>88.6</v>
      </c>
      <c r="D465" s="2">
        <v>0.94</v>
      </c>
      <c r="E465" s="3">
        <v>1.0000000000000001E-15</v>
      </c>
      <c r="F465">
        <v>28.36</v>
      </c>
      <c r="G465" t="str">
        <f>HYPERLINK("https://www.ncbi.nlm.nih.gov/nucleotide/XM_039068140.1?report=genbank&amp;log$=nucltop&amp;blast_rank=81&amp;RID=2004P2H6013","XM_039068140.1")</f>
        <v>XM_039068140.1</v>
      </c>
    </row>
    <row r="466" spans="1:7" x14ac:dyDescent="0.35">
      <c r="A466" t="s">
        <v>1203</v>
      </c>
      <c r="B466">
        <v>94.7</v>
      </c>
      <c r="C466">
        <v>94.7</v>
      </c>
      <c r="D466" s="2">
        <v>0.85</v>
      </c>
      <c r="E466" s="3">
        <v>8.0000000000000006E-18</v>
      </c>
      <c r="F466">
        <v>28.35</v>
      </c>
      <c r="G466" t="str">
        <f>HYPERLINK("https://www.ncbi.nlm.nih.gov/nucleotide/XM_033687147.1?report=genbank&amp;log$=nucltop&amp;blast_rank=82&amp;RID=2004P2H6013","XM_033687147.1")</f>
        <v>XM_033687147.1</v>
      </c>
    </row>
    <row r="467" spans="1:7" x14ac:dyDescent="0.35">
      <c r="A467" t="s">
        <v>1204</v>
      </c>
      <c r="B467">
        <v>89.7</v>
      </c>
      <c r="C467">
        <v>89.7</v>
      </c>
      <c r="D467" s="2">
        <v>0.94</v>
      </c>
      <c r="E467" s="3">
        <v>3.9999999999999999E-16</v>
      </c>
      <c r="F467">
        <v>28.31</v>
      </c>
      <c r="G467" t="str">
        <f>HYPERLINK("https://www.ncbi.nlm.nih.gov/nucleotide/XM_039054911.1?report=genbank&amp;log$=nucltop&amp;blast_rank=83&amp;RID=2004P2H6013","XM_039054911.1")</f>
        <v>XM_039054911.1</v>
      </c>
    </row>
    <row r="468" spans="1:7" x14ac:dyDescent="0.35">
      <c r="A468" t="s">
        <v>1205</v>
      </c>
      <c r="B468">
        <v>96.7</v>
      </c>
      <c r="C468">
        <v>96.7</v>
      </c>
      <c r="D468" s="2">
        <v>0.94</v>
      </c>
      <c r="E468" s="3">
        <v>2.0000000000000001E-18</v>
      </c>
      <c r="F468">
        <v>28.3</v>
      </c>
      <c r="G468" t="str">
        <f>HYPERLINK("https://www.ncbi.nlm.nih.gov/nucleotide/XM_007271209.1?report=genbank&amp;log$=nucltop&amp;blast_rank=84&amp;RID=2004P2H6013","XM_007271209.1")</f>
        <v>XM_007271209.1</v>
      </c>
    </row>
    <row r="469" spans="1:7" x14ac:dyDescent="0.35">
      <c r="A469" t="s">
        <v>1206</v>
      </c>
      <c r="B469">
        <v>87</v>
      </c>
      <c r="C469">
        <v>87</v>
      </c>
      <c r="D469" s="2">
        <v>0.99</v>
      </c>
      <c r="E469" s="3">
        <v>4.0000000000000003E-15</v>
      </c>
      <c r="F469">
        <v>28.17</v>
      </c>
      <c r="G469" t="str">
        <f>HYPERLINK("https://www.ncbi.nlm.nih.gov/nucleotide/XM_018175458.1?report=genbank&amp;log$=nucltop&amp;blast_rank=85&amp;RID=2004P2H6013","XM_018175458.1")</f>
        <v>XM_018175458.1</v>
      </c>
    </row>
    <row r="470" spans="1:7" x14ac:dyDescent="0.35">
      <c r="A470" t="s">
        <v>1207</v>
      </c>
      <c r="B470">
        <v>95.5</v>
      </c>
      <c r="C470">
        <v>95.5</v>
      </c>
      <c r="D470" s="2">
        <v>0.84</v>
      </c>
      <c r="E470" s="3">
        <v>6.9999999999999997E-18</v>
      </c>
      <c r="F470">
        <v>28.16</v>
      </c>
      <c r="G470" t="str">
        <f>HYPERLINK("https://www.ncbi.nlm.nih.gov/nucleotide/XM_007270079.1?report=genbank&amp;log$=nucltop&amp;blast_rank=86&amp;RID=2004P2H6013","XM_007270079.1")</f>
        <v>XM_007270079.1</v>
      </c>
    </row>
    <row r="471" spans="1:7" x14ac:dyDescent="0.35">
      <c r="A471" t="s">
        <v>1208</v>
      </c>
      <c r="B471">
        <v>96.7</v>
      </c>
      <c r="C471">
        <v>96.7</v>
      </c>
      <c r="D471" s="2">
        <v>0.97</v>
      </c>
      <c r="E471" s="3">
        <v>2.0000000000000001E-18</v>
      </c>
      <c r="F471">
        <v>28.08</v>
      </c>
      <c r="G471" t="str">
        <f>HYPERLINK("https://www.ncbi.nlm.nih.gov/nucleotide/XM_022428462.1?report=genbank&amp;log$=nucltop&amp;blast_rank=87&amp;RID=2004P2H6013","XM_022428462.1")</f>
        <v>XM_022428462.1</v>
      </c>
    </row>
    <row r="472" spans="1:7" x14ac:dyDescent="0.35">
      <c r="A472" t="s">
        <v>1209</v>
      </c>
      <c r="B472">
        <v>87.8</v>
      </c>
      <c r="C472">
        <v>87.8</v>
      </c>
      <c r="D472" s="2">
        <v>0.97</v>
      </c>
      <c r="E472" s="3">
        <v>2.0000000000000002E-15</v>
      </c>
      <c r="F472">
        <v>28.01</v>
      </c>
      <c r="G472" t="str">
        <f>HYPERLINK("https://www.ncbi.nlm.nih.gov/nucleotide/XM_033694135.1?report=genbank&amp;log$=nucltop&amp;blast_rank=88&amp;RID=2004P2H6013","XM_033694135.1")</f>
        <v>XM_033694135.1</v>
      </c>
    </row>
    <row r="473" spans="1:7" x14ac:dyDescent="0.35">
      <c r="A473" t="s">
        <v>1210</v>
      </c>
      <c r="B473">
        <v>90.5</v>
      </c>
      <c r="C473">
        <v>90.5</v>
      </c>
      <c r="D473" s="2">
        <v>0.83</v>
      </c>
      <c r="E473" s="3">
        <v>2.0000000000000001E-17</v>
      </c>
      <c r="F473">
        <v>27.92</v>
      </c>
      <c r="G473" t="str">
        <f>HYPERLINK("https://www.ncbi.nlm.nih.gov/nucleotide/XM_039054291.1?report=genbank&amp;log$=nucltop&amp;blast_rank=89&amp;RID=2004P2H6013","XM_039054291.1")</f>
        <v>XM_039054291.1</v>
      </c>
    </row>
    <row r="474" spans="1:7" x14ac:dyDescent="0.35">
      <c r="A474" t="s">
        <v>1211</v>
      </c>
      <c r="B474">
        <v>97.1</v>
      </c>
      <c r="C474">
        <v>97.1</v>
      </c>
      <c r="D474" s="2">
        <v>0.84</v>
      </c>
      <c r="E474" s="3">
        <v>2.0000000000000001E-18</v>
      </c>
      <c r="F474">
        <v>27.87</v>
      </c>
      <c r="G474" t="str">
        <f>HYPERLINK("https://www.ncbi.nlm.nih.gov/nucleotide/XM_007269833.1?report=genbank&amp;log$=nucltop&amp;blast_rank=90&amp;RID=2004P2H6013","XM_007269833.1")</f>
        <v>XM_007269833.1</v>
      </c>
    </row>
    <row r="475" spans="1:7" x14ac:dyDescent="0.35">
      <c r="A475" t="s">
        <v>1212</v>
      </c>
      <c r="B475">
        <v>92.8</v>
      </c>
      <c r="C475">
        <v>92.8</v>
      </c>
      <c r="D475" s="2">
        <v>0.95</v>
      </c>
      <c r="E475" s="3">
        <v>4.0000000000000003E-17</v>
      </c>
      <c r="F475">
        <v>27.82</v>
      </c>
      <c r="G475" t="str">
        <f>HYPERLINK("https://www.ncbi.nlm.nih.gov/nucleotide/XM_007271207.1?report=genbank&amp;log$=nucltop&amp;blast_rank=91&amp;RID=2004P2H6013","XM_007271207.1")</f>
        <v>XM_007271207.1</v>
      </c>
    </row>
    <row r="476" spans="1:7" x14ac:dyDescent="0.35">
      <c r="A476" t="s">
        <v>1213</v>
      </c>
      <c r="B476">
        <v>87.8</v>
      </c>
      <c r="C476">
        <v>87.8</v>
      </c>
      <c r="D476" s="2">
        <v>0.84</v>
      </c>
      <c r="E476" s="3">
        <v>2.0000000000000002E-15</v>
      </c>
      <c r="F476">
        <v>27.76</v>
      </c>
      <c r="G476" t="str">
        <f>HYPERLINK("https://www.ncbi.nlm.nih.gov/nucleotide/XM_022637750.1?report=genbank&amp;log$=nucltop&amp;blast_rank=92&amp;RID=2004P2H6013","XM_022637750.1")</f>
        <v>XM_022637750.1</v>
      </c>
    </row>
    <row r="477" spans="1:7" x14ac:dyDescent="0.35">
      <c r="A477" t="s">
        <v>1214</v>
      </c>
      <c r="B477">
        <v>98.2</v>
      </c>
      <c r="C477">
        <v>98.2</v>
      </c>
      <c r="D477" s="2">
        <v>0.96</v>
      </c>
      <c r="E477" s="3">
        <v>5.9999999999999999E-19</v>
      </c>
      <c r="F477">
        <v>27.61</v>
      </c>
      <c r="G477" t="str">
        <f>HYPERLINK("https://www.ncbi.nlm.nih.gov/nucleotide/XM_007271379.1?report=genbank&amp;log$=nucltop&amp;blast_rank=93&amp;RID=2004P2H6013","XM_007271379.1")</f>
        <v>XM_007271379.1</v>
      </c>
    </row>
    <row r="478" spans="1:7" x14ac:dyDescent="0.35">
      <c r="A478" t="s">
        <v>1215</v>
      </c>
      <c r="B478">
        <v>94</v>
      </c>
      <c r="C478">
        <v>94</v>
      </c>
      <c r="D478" s="2">
        <v>0.87</v>
      </c>
      <c r="E478" s="3">
        <v>2.0000000000000001E-17</v>
      </c>
      <c r="F478">
        <v>27.57</v>
      </c>
      <c r="G478" t="str">
        <f>HYPERLINK("https://www.ncbi.nlm.nih.gov/nucleotide/XM_007264534.1?report=genbank&amp;log$=nucltop&amp;blast_rank=94&amp;RID=2004P2H6013","XM_007264534.1")</f>
        <v>XM_007264534.1</v>
      </c>
    </row>
    <row r="479" spans="1:7" x14ac:dyDescent="0.35">
      <c r="A479" t="s">
        <v>1216</v>
      </c>
      <c r="B479">
        <v>99.4</v>
      </c>
      <c r="C479">
        <v>99.4</v>
      </c>
      <c r="D479" s="2">
        <v>0.95</v>
      </c>
      <c r="E479" s="3">
        <v>2.9999999999999999E-19</v>
      </c>
      <c r="F479">
        <v>27.31</v>
      </c>
      <c r="G479" t="str">
        <f>HYPERLINK("https://www.ncbi.nlm.nih.gov/nucleotide/XM_007269845.1?report=genbank&amp;log$=nucltop&amp;blast_rank=95&amp;RID=2004P2H6013","XM_007269845.1")</f>
        <v>XM_007269845.1</v>
      </c>
    </row>
    <row r="480" spans="1:7" x14ac:dyDescent="0.35">
      <c r="A480" t="s">
        <v>1217</v>
      </c>
      <c r="B480">
        <v>88.2</v>
      </c>
      <c r="C480">
        <v>88.2</v>
      </c>
      <c r="D480" s="2">
        <v>0.95</v>
      </c>
      <c r="E480" s="3">
        <v>1.0000000000000001E-15</v>
      </c>
      <c r="F480">
        <v>27.31</v>
      </c>
      <c r="G480" t="str">
        <f>HYPERLINK("https://www.ncbi.nlm.nih.gov/nucleotide/XM_033726188.1?report=genbank&amp;log$=nucltop&amp;blast_rank=96&amp;RID=2004P2H6013","XM_033726188.1")</f>
        <v>XM_033726188.1</v>
      </c>
    </row>
    <row r="481" spans="1:7" x14ac:dyDescent="0.35">
      <c r="A481" t="s">
        <v>1218</v>
      </c>
      <c r="B481">
        <v>86.7</v>
      </c>
      <c r="C481">
        <v>86.7</v>
      </c>
      <c r="D481" s="2">
        <v>0.93</v>
      </c>
      <c r="E481" s="3">
        <v>4.0000000000000003E-15</v>
      </c>
      <c r="F481">
        <v>27.04</v>
      </c>
      <c r="G481" t="str">
        <f>HYPERLINK("https://www.ncbi.nlm.nih.gov/nucleotide/XM_022729016.1?report=genbank&amp;log$=nucltop&amp;blast_rank=97&amp;RID=2004P2H6013","XM_022729016.1")</f>
        <v>XM_022729016.1</v>
      </c>
    </row>
    <row r="482" spans="1:7" x14ac:dyDescent="0.35">
      <c r="A482" t="s">
        <v>1219</v>
      </c>
      <c r="B482">
        <v>86.3</v>
      </c>
      <c r="C482">
        <v>86.3</v>
      </c>
      <c r="D482" s="2">
        <v>0.83</v>
      </c>
      <c r="E482" s="3">
        <v>5.9999999999999999E-16</v>
      </c>
      <c r="F482">
        <v>26.92</v>
      </c>
      <c r="G482" t="str">
        <f>HYPERLINK("https://www.ncbi.nlm.nih.gov/nucleotide/XM_007264449.1?report=genbank&amp;log$=nucltop&amp;blast_rank=98&amp;RID=2004P2H6013","XM_007264449.1")</f>
        <v>XM_007264449.1</v>
      </c>
    </row>
    <row r="483" spans="1:7" x14ac:dyDescent="0.35">
      <c r="A483" t="s">
        <v>1220</v>
      </c>
      <c r="B483">
        <v>94.4</v>
      </c>
      <c r="C483">
        <v>94.4</v>
      </c>
      <c r="D483" s="2">
        <v>0.95</v>
      </c>
      <c r="E483" s="3">
        <v>1.0000000000000001E-17</v>
      </c>
      <c r="F483">
        <v>26.87</v>
      </c>
      <c r="G483" t="str">
        <f>HYPERLINK("https://www.ncbi.nlm.nih.gov/nucleotide/XM_007269825.1?report=genbank&amp;log$=nucltop&amp;blast_rank=99&amp;RID=2004P2H6013","XM_007269825.1")</f>
        <v>XM_007269825.1</v>
      </c>
    </row>
    <row r="484" spans="1:7" x14ac:dyDescent="0.35">
      <c r="A484" t="s">
        <v>1221</v>
      </c>
      <c r="B484">
        <v>86.7</v>
      </c>
      <c r="C484">
        <v>86.7</v>
      </c>
      <c r="D484" s="2">
        <v>0.97</v>
      </c>
      <c r="E484" s="3">
        <v>5.9999999999999997E-15</v>
      </c>
      <c r="F484">
        <v>26.55</v>
      </c>
      <c r="G484" t="str">
        <f>HYPERLINK("https://www.ncbi.nlm.nih.gov/nucleotide/XM_033727161.1?report=genbank&amp;log$=nucltop&amp;blast_rank=100&amp;RID=2004P2H6013","XM_033727161.1")</f>
        <v>XM_033727161.1</v>
      </c>
    </row>
    <row r="485" spans="1:7" x14ac:dyDescent="0.35">
      <c r="A485" s="1" t="s">
        <v>1222</v>
      </c>
    </row>
    <row r="486" spans="1:7" x14ac:dyDescent="0.35">
      <c r="A486" s="1" t="s">
        <v>2</v>
      </c>
      <c r="B486" s="1" t="s">
        <v>3</v>
      </c>
      <c r="C486" s="1" t="s">
        <v>4</v>
      </c>
      <c r="D486" s="1" t="s">
        <v>5</v>
      </c>
      <c r="E486" s="1" t="s">
        <v>6</v>
      </c>
      <c r="F486" s="1" t="s">
        <v>7</v>
      </c>
      <c r="G486" s="1" t="s">
        <v>8</v>
      </c>
    </row>
    <row r="487" spans="1:7" x14ac:dyDescent="0.35">
      <c r="A487" t="s">
        <v>37</v>
      </c>
      <c r="B487">
        <v>165</v>
      </c>
      <c r="C487">
        <v>312</v>
      </c>
      <c r="D487" s="2">
        <v>0.89</v>
      </c>
      <c r="E487" s="3">
        <v>2.9999999999999999E-75</v>
      </c>
      <c r="F487">
        <v>69.23</v>
      </c>
      <c r="G487" t="str">
        <f>HYPERLINK("https://www.ncbi.nlm.nih.gov/nucleotide/LR732085.1?report=genbank&amp;log$=nucltop&amp;blast_rank=1&amp;RID=200685ST016","LR732085.1")</f>
        <v>LR732085.1</v>
      </c>
    </row>
    <row r="488" spans="1:7" x14ac:dyDescent="0.35">
      <c r="A488" t="s">
        <v>553</v>
      </c>
      <c r="B488">
        <v>87.4</v>
      </c>
      <c r="C488">
        <v>87.4</v>
      </c>
      <c r="D488" s="2">
        <v>0.37</v>
      </c>
      <c r="E488" s="3">
        <v>4.0000000000000003E-17</v>
      </c>
      <c r="F488">
        <v>57.69</v>
      </c>
      <c r="G488" t="str">
        <f>HYPERLINK("https://www.ncbi.nlm.nih.gov/nucleotide/XM_027759404.1?report=genbank&amp;log$=nucltop&amp;blast_rank=2&amp;RID=200685ST016","XM_027759404.1")</f>
        <v>XM_027759404.1</v>
      </c>
    </row>
    <row r="489" spans="1:7" x14ac:dyDescent="0.35">
      <c r="A489" t="s">
        <v>405</v>
      </c>
      <c r="B489">
        <v>85.9</v>
      </c>
      <c r="C489">
        <v>85.9</v>
      </c>
      <c r="D489" s="2">
        <v>0.39</v>
      </c>
      <c r="E489" s="3">
        <v>2.0000000000000002E-15</v>
      </c>
      <c r="F489">
        <v>55.29</v>
      </c>
      <c r="G489" t="str">
        <f>HYPERLINK("https://www.ncbi.nlm.nih.gov/nucleotide/CP019382.1?report=genbank&amp;log$=nucltop&amp;blast_rank=3&amp;RID=200685ST016","CP019382.1")</f>
        <v>CP019382.1</v>
      </c>
    </row>
    <row r="490" spans="1:7" x14ac:dyDescent="0.35">
      <c r="A490" t="s">
        <v>385</v>
      </c>
      <c r="B490">
        <v>67</v>
      </c>
      <c r="C490">
        <v>67</v>
      </c>
      <c r="D490" s="2">
        <v>0.31</v>
      </c>
      <c r="E490" s="3">
        <v>6.9999999999999998E-9</v>
      </c>
      <c r="F490">
        <v>52.31</v>
      </c>
      <c r="G490" t="str">
        <f>HYPERLINK("https://www.ncbi.nlm.nih.gov/nucleotide/CP015468.1?report=genbank&amp;log$=nucltop&amp;blast_rank=4&amp;RID=200685ST016","CP015468.1")</f>
        <v>CP015468.1</v>
      </c>
    </row>
    <row r="491" spans="1:7" x14ac:dyDescent="0.35">
      <c r="A491" t="s">
        <v>382</v>
      </c>
      <c r="B491">
        <v>66.2</v>
      </c>
      <c r="C491">
        <v>66.2</v>
      </c>
      <c r="D491" s="2">
        <v>0.31</v>
      </c>
      <c r="E491" s="3">
        <v>1E-8</v>
      </c>
      <c r="F491">
        <v>52.31</v>
      </c>
      <c r="G491" t="str">
        <f>HYPERLINK("https://www.ncbi.nlm.nih.gov/nucleotide/CP039884.1?report=genbank&amp;log$=nucltop&amp;blast_rank=5&amp;RID=200685ST016","CP039884.1")</f>
        <v>CP039884.1</v>
      </c>
    </row>
    <row r="492" spans="1:7" x14ac:dyDescent="0.35">
      <c r="A492" t="s">
        <v>383</v>
      </c>
      <c r="B492">
        <v>66.2</v>
      </c>
      <c r="C492">
        <v>66.2</v>
      </c>
      <c r="D492" s="2">
        <v>0.31</v>
      </c>
      <c r="E492" s="3">
        <v>1E-8</v>
      </c>
      <c r="F492">
        <v>52.31</v>
      </c>
      <c r="G492" t="str">
        <f>HYPERLINK("https://www.ncbi.nlm.nih.gov/nucleotide/CP015481.1?report=genbank&amp;log$=nucltop&amp;blast_rank=6&amp;RID=200685ST016","CP015481.1")</f>
        <v>CP015481.1</v>
      </c>
    </row>
    <row r="493" spans="1:7" x14ac:dyDescent="0.35">
      <c r="A493" t="s">
        <v>381</v>
      </c>
      <c r="B493">
        <v>62</v>
      </c>
      <c r="C493">
        <v>62</v>
      </c>
      <c r="D493" s="2">
        <v>0.32</v>
      </c>
      <c r="E493" s="3">
        <v>3.9999999999999998E-7</v>
      </c>
      <c r="F493">
        <v>51.52</v>
      </c>
      <c r="G493" t="str">
        <f>HYPERLINK("https://www.ncbi.nlm.nih.gov/nucleotide/CP068008.1?report=genbank&amp;log$=nucltop&amp;blast_rank=7&amp;RID=200685ST016","CP068008.1")</f>
        <v>CP068008.1</v>
      </c>
    </row>
    <row r="494" spans="1:7" x14ac:dyDescent="0.35">
      <c r="A494" t="s">
        <v>495</v>
      </c>
      <c r="B494">
        <v>61.2</v>
      </c>
      <c r="C494">
        <v>61.2</v>
      </c>
      <c r="D494" s="2">
        <v>0.37</v>
      </c>
      <c r="E494" s="3">
        <v>2.9999999999999999E-7</v>
      </c>
      <c r="F494">
        <v>45.45</v>
      </c>
      <c r="G494" t="str">
        <f>HYPERLINK("https://www.ncbi.nlm.nih.gov/nucleotide/XM_768845.1?report=genbank&amp;log$=nucltop&amp;blast_rank=8&amp;RID=200685ST016","XM_768845.1")</f>
        <v>XM_768845.1</v>
      </c>
    </row>
    <row r="495" spans="1:7" x14ac:dyDescent="0.35">
      <c r="A495" s="4" t="s">
        <v>496</v>
      </c>
      <c r="B495" s="4">
        <v>61.2</v>
      </c>
      <c r="C495" s="4">
        <v>61.2</v>
      </c>
      <c r="D495" s="5">
        <v>0.37</v>
      </c>
      <c r="E495" s="6">
        <v>2.9999999999999999E-7</v>
      </c>
      <c r="F495" s="4">
        <v>45.45</v>
      </c>
      <c r="G495" s="4" t="str">
        <f>HYPERLINK("https://www.ncbi.nlm.nih.gov/nucleotide/XM_024657893.1?report=genbank&amp;log$=nucltop&amp;blast_rank=9&amp;RID=200685ST016","XM_024657893.1")</f>
        <v>XM_024657893.1</v>
      </c>
    </row>
    <row r="496" spans="1:7" x14ac:dyDescent="0.35">
      <c r="A496" s="4" t="s">
        <v>497</v>
      </c>
      <c r="B496" s="4">
        <v>59.3</v>
      </c>
      <c r="C496" s="4">
        <v>59.3</v>
      </c>
      <c r="D496" s="5">
        <v>0.36</v>
      </c>
      <c r="E496" s="6">
        <v>9.9999999999999995E-7</v>
      </c>
      <c r="F496" s="4">
        <v>44.74</v>
      </c>
      <c r="G496" s="4" t="str">
        <f>HYPERLINK("https://www.ncbi.nlm.nih.gov/nucleotide/XM_003195720.1?report=genbank&amp;log$=nucltop&amp;blast_rank=10&amp;RID=200685ST016","XM_003195720.1")</f>
        <v>XM_003195720.1</v>
      </c>
    </row>
    <row r="497" spans="1:7" x14ac:dyDescent="0.35">
      <c r="A497" t="s">
        <v>498</v>
      </c>
      <c r="B497">
        <v>49.7</v>
      </c>
      <c r="C497">
        <v>49.7</v>
      </c>
      <c r="D497" s="2">
        <v>0.28999999999999998</v>
      </c>
      <c r="E497" s="3">
        <v>8.9999999999999998E-4</v>
      </c>
      <c r="F497">
        <v>44.26</v>
      </c>
      <c r="G497" t="str">
        <f>HYPERLINK("https://www.ncbi.nlm.nih.gov/nucleotide/XM_007413685.1?report=genbank&amp;log$=nucltop&amp;blast_rank=11&amp;RID=200685ST016","XM_007413685.1")</f>
        <v>XM_007413685.1</v>
      </c>
    </row>
    <row r="498" spans="1:7" x14ac:dyDescent="0.35">
      <c r="A498" t="s">
        <v>499</v>
      </c>
      <c r="B498">
        <v>60.1</v>
      </c>
      <c r="C498">
        <v>60.1</v>
      </c>
      <c r="D498" s="2">
        <v>0.37</v>
      </c>
      <c r="E498" s="3">
        <v>9.9999999999999995E-7</v>
      </c>
      <c r="F498">
        <v>44.16</v>
      </c>
      <c r="G498" t="str">
        <f>HYPERLINK("https://www.ncbi.nlm.nih.gov/nucleotide/XM_012196313.1?report=genbank&amp;log$=nucltop&amp;blast_rank=12&amp;RID=200685ST016","XM_012196313.1")</f>
        <v>XM_012196313.1</v>
      </c>
    </row>
    <row r="499" spans="1:7" x14ac:dyDescent="0.35">
      <c r="A499" t="s">
        <v>500</v>
      </c>
      <c r="B499">
        <v>50.1</v>
      </c>
      <c r="C499">
        <v>50.1</v>
      </c>
      <c r="D499" s="2">
        <v>0.32</v>
      </c>
      <c r="E499">
        <v>4.0000000000000001E-3</v>
      </c>
      <c r="F499">
        <v>43.94</v>
      </c>
      <c r="G499" t="str">
        <f>HYPERLINK("https://www.ncbi.nlm.nih.gov/nucleotide/CP025766.1?report=genbank&amp;log$=nucltop&amp;blast_rank=13&amp;RID=200685ST016","CP025766.1")</f>
        <v>CP025766.1</v>
      </c>
    </row>
    <row r="500" spans="1:7" x14ac:dyDescent="0.35">
      <c r="A500" t="s">
        <v>501</v>
      </c>
      <c r="B500">
        <v>49.7</v>
      </c>
      <c r="C500">
        <v>49.7</v>
      </c>
      <c r="D500" s="2">
        <v>0.32</v>
      </c>
      <c r="E500">
        <v>4.0000000000000001E-3</v>
      </c>
      <c r="F500">
        <v>43.94</v>
      </c>
      <c r="G500" t="str">
        <f>HYPERLINK("https://www.ncbi.nlm.nih.gov/nucleotide/AE017349.1?report=genbank&amp;log$=nucltop&amp;blast_rank=14&amp;RID=200685ST016","AE017349.1")</f>
        <v>AE017349.1</v>
      </c>
    </row>
    <row r="501" spans="1:7" x14ac:dyDescent="0.35">
      <c r="A501" t="s">
        <v>502</v>
      </c>
      <c r="B501">
        <v>49.3</v>
      </c>
      <c r="C501">
        <v>49.3</v>
      </c>
      <c r="D501" s="2">
        <v>0.32</v>
      </c>
      <c r="E501">
        <v>7.0000000000000001E-3</v>
      </c>
      <c r="F501">
        <v>43.94</v>
      </c>
      <c r="G501" t="str">
        <f>HYPERLINK("https://www.ncbi.nlm.nih.gov/nucleotide/CP000293.1?report=genbank&amp;log$=nucltop&amp;blast_rank=15&amp;RID=200685ST016","CP000293.1")</f>
        <v>CP000293.1</v>
      </c>
    </row>
    <row r="502" spans="1:7" x14ac:dyDescent="0.35">
      <c r="A502" s="4" t="s">
        <v>527</v>
      </c>
      <c r="B502" s="4">
        <v>136</v>
      </c>
      <c r="C502" s="4">
        <v>136</v>
      </c>
      <c r="D502" s="5">
        <v>0.99</v>
      </c>
      <c r="E502" s="6">
        <v>5E-36</v>
      </c>
      <c r="F502" s="4">
        <v>43.78</v>
      </c>
      <c r="G502" s="4" t="str">
        <f>HYPERLINK("https://www.ncbi.nlm.nih.gov/nucleotide/XM_037362815.1?report=genbank&amp;log$=nucltop&amp;blast_rank=16&amp;RID=200685ST016","XM_037362815.1")</f>
        <v>XM_037362815.1</v>
      </c>
    </row>
    <row r="503" spans="1:7" x14ac:dyDescent="0.35">
      <c r="A503" s="4" t="s">
        <v>504</v>
      </c>
      <c r="B503" s="4">
        <v>54.3</v>
      </c>
      <c r="C503" s="4">
        <v>54.3</v>
      </c>
      <c r="D503" s="5">
        <v>0.31</v>
      </c>
      <c r="E503" s="6">
        <v>8.0000000000000007E-5</v>
      </c>
      <c r="F503" s="4">
        <v>43.75</v>
      </c>
      <c r="G503" s="4" t="str">
        <f>HYPERLINK("https://www.ncbi.nlm.nih.gov/nucleotide/XM_008098815.1?report=genbank&amp;log$=nucltop&amp;blast_rank=17&amp;RID=200685ST016","XM_008098815.1")</f>
        <v>XM_008098815.1</v>
      </c>
    </row>
    <row r="504" spans="1:7" x14ac:dyDescent="0.35">
      <c r="A504" s="4" t="s">
        <v>505</v>
      </c>
      <c r="B504" s="4">
        <v>53.5</v>
      </c>
      <c r="C504" s="4">
        <v>53.5</v>
      </c>
      <c r="D504" s="5">
        <v>0.31</v>
      </c>
      <c r="E504" s="6">
        <v>1E-4</v>
      </c>
      <c r="F504" s="4">
        <v>43.75</v>
      </c>
      <c r="G504" s="4" t="str">
        <f>HYPERLINK("https://www.ncbi.nlm.nih.gov/nucleotide/XM_018307603.1?report=genbank&amp;log$=nucltop&amp;blast_rank=18&amp;RID=200685ST016","XM_018307603.1")</f>
        <v>XM_018307603.1</v>
      </c>
    </row>
    <row r="505" spans="1:7" x14ac:dyDescent="0.35">
      <c r="A505" s="4" t="s">
        <v>506</v>
      </c>
      <c r="B505" s="4">
        <v>53.5</v>
      </c>
      <c r="C505" s="4">
        <v>53.5</v>
      </c>
      <c r="D505" s="5">
        <v>0.31</v>
      </c>
      <c r="E505" s="6">
        <v>2.0000000000000001E-4</v>
      </c>
      <c r="F505" s="4">
        <v>43.75</v>
      </c>
      <c r="G505" s="4" t="str">
        <f>HYPERLINK("https://www.ncbi.nlm.nih.gov/nucleotide/XM_038886705.1?report=genbank&amp;log$=nucltop&amp;blast_rank=19&amp;RID=200685ST016","XM_038886705.1")</f>
        <v>XM_038886705.1</v>
      </c>
    </row>
    <row r="506" spans="1:7" x14ac:dyDescent="0.35">
      <c r="A506" s="4" t="s">
        <v>507</v>
      </c>
      <c r="B506" s="4">
        <v>53.1</v>
      </c>
      <c r="C506" s="4">
        <v>53.1</v>
      </c>
      <c r="D506" s="5">
        <v>0.31</v>
      </c>
      <c r="E506" s="6">
        <v>2.9999999999999997E-4</v>
      </c>
      <c r="F506" s="4">
        <v>43.75</v>
      </c>
      <c r="G506" s="4" t="str">
        <f>HYPERLINK("https://www.ncbi.nlm.nih.gov/nucleotide/XM_036723993.1?report=genbank&amp;log$=nucltop&amp;blast_rank=20&amp;RID=200685ST016","XM_036723993.1")</f>
        <v>XM_036723993.1</v>
      </c>
    </row>
    <row r="507" spans="1:7" x14ac:dyDescent="0.35">
      <c r="A507" s="4" t="s">
        <v>503</v>
      </c>
      <c r="B507" s="4">
        <v>55.5</v>
      </c>
      <c r="C507" s="4">
        <v>55.5</v>
      </c>
      <c r="D507" s="5">
        <v>0.33</v>
      </c>
      <c r="E507" s="6">
        <v>3.0000000000000001E-5</v>
      </c>
      <c r="F507" s="4">
        <v>43.48</v>
      </c>
      <c r="G507" s="4" t="str">
        <f>HYPERLINK("https://www.ncbi.nlm.nih.gov/nucleotide/XM_022613792.1?report=genbank&amp;log$=nucltop&amp;blast_rank=21&amp;RID=200685ST016","XM_022613792.1")</f>
        <v>XM_022613792.1</v>
      </c>
    </row>
    <row r="508" spans="1:7" x14ac:dyDescent="0.35">
      <c r="A508" t="s">
        <v>508</v>
      </c>
      <c r="B508">
        <v>47.4</v>
      </c>
      <c r="C508">
        <v>47.4</v>
      </c>
      <c r="D508" s="2">
        <v>0.32</v>
      </c>
      <c r="E508">
        <v>2.9000000000000001E-2</v>
      </c>
      <c r="F508">
        <v>42.42</v>
      </c>
      <c r="G508" t="str">
        <f>HYPERLINK("https://www.ncbi.nlm.nih.gov/nucleotide/CP048095.1?report=genbank&amp;log$=nucltop&amp;blast_rank=22&amp;RID=200685ST016","CP048095.1")</f>
        <v>CP048095.1</v>
      </c>
    </row>
    <row r="509" spans="1:7" x14ac:dyDescent="0.35">
      <c r="A509" t="s">
        <v>509</v>
      </c>
      <c r="B509">
        <v>47.4</v>
      </c>
      <c r="C509">
        <v>47.4</v>
      </c>
      <c r="D509" s="2">
        <v>0.32</v>
      </c>
      <c r="E509">
        <v>2.9000000000000001E-2</v>
      </c>
      <c r="F509">
        <v>42.42</v>
      </c>
      <c r="G509" t="str">
        <f>HYPERLINK("https://www.ncbi.nlm.nih.gov/nucleotide/CP047910.1?report=genbank&amp;log$=nucltop&amp;blast_rank=23&amp;RID=200685ST016","CP047910.1")</f>
        <v>CP047910.1</v>
      </c>
    </row>
    <row r="510" spans="1:7" x14ac:dyDescent="0.35">
      <c r="A510" t="s">
        <v>510</v>
      </c>
      <c r="B510">
        <v>47.4</v>
      </c>
      <c r="C510">
        <v>47.4</v>
      </c>
      <c r="D510" s="2">
        <v>0.32</v>
      </c>
      <c r="E510">
        <v>2.9000000000000001E-2</v>
      </c>
      <c r="F510">
        <v>42.42</v>
      </c>
      <c r="G510" t="str">
        <f>HYPERLINK("https://www.ncbi.nlm.nih.gov/nucleotide/CP003828.1?report=genbank&amp;log$=nucltop&amp;blast_rank=24&amp;RID=200685ST016","CP003828.1")</f>
        <v>CP003828.1</v>
      </c>
    </row>
    <row r="511" spans="1:7" x14ac:dyDescent="0.35">
      <c r="A511" t="s">
        <v>511</v>
      </c>
      <c r="B511">
        <v>47.4</v>
      </c>
      <c r="C511">
        <v>47.4</v>
      </c>
      <c r="D511" s="2">
        <v>0.32</v>
      </c>
      <c r="E511">
        <v>2.9000000000000001E-2</v>
      </c>
      <c r="F511">
        <v>42.42</v>
      </c>
      <c r="G511" t="str">
        <f>HYPERLINK("https://www.ncbi.nlm.nih.gov/nucleotide/CP022329.1?report=genbank&amp;log$=nucltop&amp;blast_rank=25&amp;RID=200685ST016","CP022329.1")</f>
        <v>CP022329.1</v>
      </c>
    </row>
    <row r="512" spans="1:7" x14ac:dyDescent="0.35">
      <c r="A512" t="s">
        <v>512</v>
      </c>
      <c r="B512">
        <v>47.4</v>
      </c>
      <c r="C512">
        <v>47.4</v>
      </c>
      <c r="D512" s="2">
        <v>0.32</v>
      </c>
      <c r="E512">
        <v>0.03</v>
      </c>
      <c r="F512">
        <v>42.42</v>
      </c>
      <c r="G512" t="str">
        <f>HYPERLINK("https://www.ncbi.nlm.nih.gov/nucleotide/CP025725.1?report=genbank&amp;log$=nucltop&amp;blast_rank=26&amp;RID=200685ST016","CP025725.1")</f>
        <v>CP025725.1</v>
      </c>
    </row>
    <row r="513" spans="1:7" x14ac:dyDescent="0.35">
      <c r="A513" t="s">
        <v>513</v>
      </c>
      <c r="B513">
        <v>47.4</v>
      </c>
      <c r="C513">
        <v>47.4</v>
      </c>
      <c r="D513" s="2">
        <v>0.32</v>
      </c>
      <c r="E513">
        <v>0.03</v>
      </c>
      <c r="F513">
        <v>42.42</v>
      </c>
      <c r="G513" t="str">
        <f>HYPERLINK("https://www.ncbi.nlm.nih.gov/nucleotide/CP048080.1?report=genbank&amp;log$=nucltop&amp;blast_rank=27&amp;RID=200685ST016","CP048080.1")</f>
        <v>CP048080.1</v>
      </c>
    </row>
    <row r="514" spans="1:7" x14ac:dyDescent="0.35">
      <c r="A514" t="s">
        <v>523</v>
      </c>
      <c r="B514">
        <v>52</v>
      </c>
      <c r="C514">
        <v>52</v>
      </c>
      <c r="D514" s="2">
        <v>0.31</v>
      </c>
      <c r="E514" s="3">
        <v>4.0000000000000002E-4</v>
      </c>
      <c r="F514">
        <v>42.19</v>
      </c>
      <c r="G514" t="str">
        <f>HYPERLINK("https://www.ncbi.nlm.nih.gov/nucleotide/XM_037318596.1?report=genbank&amp;log$=nucltop&amp;blast_rank=28&amp;RID=200685ST016","XM_037318596.1")</f>
        <v>XM_037318596.1</v>
      </c>
    </row>
    <row r="515" spans="1:7" x14ac:dyDescent="0.35">
      <c r="A515" t="s">
        <v>524</v>
      </c>
      <c r="B515">
        <v>52</v>
      </c>
      <c r="C515">
        <v>52</v>
      </c>
      <c r="D515" s="2">
        <v>0.31</v>
      </c>
      <c r="E515" s="3">
        <v>4.0000000000000002E-4</v>
      </c>
      <c r="F515">
        <v>42.19</v>
      </c>
      <c r="G515" t="str">
        <f>HYPERLINK("https://www.ncbi.nlm.nih.gov/nucleotide/XM_036634474.1?report=genbank&amp;log$=nucltop&amp;blast_rank=29&amp;RID=200685ST016","XM_036634474.1")</f>
        <v>XM_036634474.1</v>
      </c>
    </row>
    <row r="516" spans="1:7" x14ac:dyDescent="0.35">
      <c r="A516" t="s">
        <v>525</v>
      </c>
      <c r="B516">
        <v>52</v>
      </c>
      <c r="C516">
        <v>52</v>
      </c>
      <c r="D516" s="2">
        <v>0.31</v>
      </c>
      <c r="E516" s="3">
        <v>4.0000000000000002E-4</v>
      </c>
      <c r="F516">
        <v>42.19</v>
      </c>
      <c r="G516" t="str">
        <f>HYPERLINK("https://www.ncbi.nlm.nih.gov/nucleotide/XM_032021123.1?report=genbank&amp;log$=nucltop&amp;blast_rank=30&amp;RID=200685ST016","XM_032021123.1")</f>
        <v>XM_032021123.1</v>
      </c>
    </row>
    <row r="517" spans="1:7" x14ac:dyDescent="0.35">
      <c r="A517" s="4" t="s">
        <v>514</v>
      </c>
      <c r="B517" s="4">
        <v>53.9</v>
      </c>
      <c r="C517" s="4">
        <v>53.9</v>
      </c>
      <c r="D517" s="5">
        <v>0.33</v>
      </c>
      <c r="E517" s="6">
        <v>1E-4</v>
      </c>
      <c r="F517" s="4">
        <v>42.03</v>
      </c>
      <c r="G517" s="4" t="str">
        <f>HYPERLINK("https://www.ncbi.nlm.nih.gov/nucleotide/XM_035473314.1?report=genbank&amp;log$=nucltop&amp;blast_rank=31&amp;RID=200685ST016","XM_035473314.1")</f>
        <v>XM_035473314.1</v>
      </c>
    </row>
    <row r="518" spans="1:7" x14ac:dyDescent="0.35">
      <c r="A518" t="s">
        <v>515</v>
      </c>
      <c r="B518">
        <v>57</v>
      </c>
      <c r="C518">
        <v>57</v>
      </c>
      <c r="D518" s="2">
        <v>0.37</v>
      </c>
      <c r="E518" s="3">
        <v>9.0000000000000002E-6</v>
      </c>
      <c r="F518">
        <v>41.56</v>
      </c>
      <c r="G518" t="str">
        <f>HYPERLINK("https://www.ncbi.nlm.nih.gov/nucleotide/XM_032005190.1?report=genbank&amp;log$=nucltop&amp;blast_rank=32&amp;RID=200685ST016","XM_032005190.1")</f>
        <v>XM_032005190.1</v>
      </c>
    </row>
    <row r="519" spans="1:7" x14ac:dyDescent="0.35">
      <c r="A519" t="s">
        <v>516</v>
      </c>
      <c r="B519">
        <v>57</v>
      </c>
      <c r="C519">
        <v>57</v>
      </c>
      <c r="D519" s="2">
        <v>0.37</v>
      </c>
      <c r="E519" s="3">
        <v>9.0000000000000002E-6</v>
      </c>
      <c r="F519">
        <v>41.56</v>
      </c>
      <c r="G519" t="str">
        <f>HYPERLINK("https://www.ncbi.nlm.nih.gov/nucleotide/XM_007001803.1?report=genbank&amp;log$=nucltop&amp;blast_rank=33&amp;RID=200685ST016","XM_007001803.1")</f>
        <v>XM_007001803.1</v>
      </c>
    </row>
    <row r="520" spans="1:7" x14ac:dyDescent="0.35">
      <c r="A520" t="s">
        <v>530</v>
      </c>
      <c r="B520">
        <v>50.8</v>
      </c>
      <c r="C520">
        <v>50.8</v>
      </c>
      <c r="D520" s="2">
        <v>0.37</v>
      </c>
      <c r="E520">
        <v>1E-3</v>
      </c>
      <c r="F520">
        <v>41.56</v>
      </c>
      <c r="G520" t="str">
        <f>HYPERLINK("https://www.ncbi.nlm.nih.gov/nucleotide/XM_025504909.1?report=genbank&amp;log$=nucltop&amp;blast_rank=34&amp;RID=200685ST016","XM_025504909.1")</f>
        <v>XM_025504909.1</v>
      </c>
    </row>
    <row r="521" spans="1:7" x14ac:dyDescent="0.35">
      <c r="A521" t="s">
        <v>517</v>
      </c>
      <c r="B521">
        <v>47.4</v>
      </c>
      <c r="C521">
        <v>47.4</v>
      </c>
      <c r="D521" s="2">
        <v>0.31</v>
      </c>
      <c r="E521">
        <v>3.1E-2</v>
      </c>
      <c r="F521">
        <v>41.54</v>
      </c>
      <c r="G521" t="str">
        <f>HYPERLINK("https://www.ncbi.nlm.nih.gov/nucleotide/LK023379.1?report=genbank&amp;log$=nucltop&amp;blast_rank=35&amp;RID=200685ST016","LK023379.1")</f>
        <v>LK023379.1</v>
      </c>
    </row>
    <row r="522" spans="1:7" x14ac:dyDescent="0.35">
      <c r="A522" t="s">
        <v>518</v>
      </c>
      <c r="B522">
        <v>47.4</v>
      </c>
      <c r="C522">
        <v>47.4</v>
      </c>
      <c r="D522" s="2">
        <v>0.31</v>
      </c>
      <c r="E522">
        <v>3.1E-2</v>
      </c>
      <c r="F522">
        <v>41.54</v>
      </c>
      <c r="G522" t="str">
        <f>HYPERLINK("https://www.ncbi.nlm.nih.gov/nucleotide/CP031827.1?report=genbank&amp;log$=nucltop&amp;blast_rank=36&amp;RID=200685ST016","CP031827.1")</f>
        <v>CP031827.1</v>
      </c>
    </row>
    <row r="523" spans="1:7" x14ac:dyDescent="0.35">
      <c r="A523" t="s">
        <v>531</v>
      </c>
      <c r="B523">
        <v>134</v>
      </c>
      <c r="C523">
        <v>134</v>
      </c>
      <c r="D523" s="2">
        <v>0.99</v>
      </c>
      <c r="E523" s="3">
        <v>2.9999999999999999E-35</v>
      </c>
      <c r="F523">
        <v>41.38</v>
      </c>
      <c r="G523" t="str">
        <f>HYPERLINK("https://www.ncbi.nlm.nih.gov/nucleotide/XM_003026747.1?report=genbank&amp;log$=nucltop&amp;blast_rank=37&amp;RID=200685ST016","XM_003026747.1")</f>
        <v>XM_003026747.1</v>
      </c>
    </row>
    <row r="524" spans="1:7" x14ac:dyDescent="0.35">
      <c r="A524" t="s">
        <v>526</v>
      </c>
      <c r="B524">
        <v>54.7</v>
      </c>
      <c r="C524">
        <v>54.7</v>
      </c>
      <c r="D524" s="2">
        <v>0.36</v>
      </c>
      <c r="E524" s="3">
        <v>4.0000000000000003E-5</v>
      </c>
      <c r="F524">
        <v>40.79</v>
      </c>
      <c r="G524" t="str">
        <f>HYPERLINK("https://www.ncbi.nlm.nih.gov/nucleotide/XM_019194061.1?report=genbank&amp;log$=nucltop&amp;blast_rank=38&amp;RID=200685ST016","XM_019194061.1")</f>
        <v>XM_019194061.1</v>
      </c>
    </row>
    <row r="525" spans="1:7" x14ac:dyDescent="0.35">
      <c r="A525" t="s">
        <v>528</v>
      </c>
      <c r="B525">
        <v>49.3</v>
      </c>
      <c r="C525">
        <v>49.3</v>
      </c>
      <c r="D525" s="2">
        <v>0.34</v>
      </c>
      <c r="E525">
        <v>5.0000000000000001E-3</v>
      </c>
      <c r="F525">
        <v>40.28</v>
      </c>
      <c r="G525" t="str">
        <f>HYPERLINK("https://www.ncbi.nlm.nih.gov/nucleotide/XM_018422622.1?report=genbank&amp;log$=nucltop&amp;blast_rank=39&amp;RID=200685ST016","XM_018422622.1")</f>
        <v>XM_018422622.1</v>
      </c>
    </row>
    <row r="526" spans="1:7" x14ac:dyDescent="0.35">
      <c r="A526" t="s">
        <v>529</v>
      </c>
      <c r="B526">
        <v>57.4</v>
      </c>
      <c r="C526">
        <v>57.4</v>
      </c>
      <c r="D526" s="2">
        <v>0.37</v>
      </c>
      <c r="E526" s="3">
        <v>6.0000000000000002E-6</v>
      </c>
      <c r="F526">
        <v>40.26</v>
      </c>
      <c r="G526" t="str">
        <f>HYPERLINK("https://www.ncbi.nlm.nih.gov/nucleotide/XM_028618410.1?report=genbank&amp;log$=nucltop&amp;blast_rank=40&amp;RID=200685ST016","XM_028618410.1")</f>
        <v>XM_028618410.1</v>
      </c>
    </row>
    <row r="527" spans="1:7" x14ac:dyDescent="0.35">
      <c r="A527" t="s">
        <v>204</v>
      </c>
      <c r="B527">
        <v>103</v>
      </c>
      <c r="C527">
        <v>103</v>
      </c>
      <c r="D527" s="2">
        <v>1</v>
      </c>
      <c r="E527" s="3">
        <v>1E-22</v>
      </c>
      <c r="F527">
        <v>40</v>
      </c>
      <c r="G527" t="str">
        <f>HYPERLINK("https://www.ncbi.nlm.nih.gov/nucleotide/XM_008043238.1?report=genbank&amp;log$=nucltop&amp;blast_rank=41&amp;RID=200685ST016","XM_008043238.1")</f>
        <v>XM_008043238.1</v>
      </c>
    </row>
    <row r="528" spans="1:7" x14ac:dyDescent="0.35">
      <c r="A528" t="s">
        <v>519</v>
      </c>
      <c r="B528">
        <v>47.8</v>
      </c>
      <c r="C528">
        <v>47.8</v>
      </c>
      <c r="D528" s="2">
        <v>0.33</v>
      </c>
      <c r="E528">
        <v>4.0000000000000001E-3</v>
      </c>
      <c r="F528">
        <v>39.71</v>
      </c>
      <c r="G528" t="str">
        <f>HYPERLINK("https://www.ncbi.nlm.nih.gov/nucleotide/XM_029884616.1?report=genbank&amp;log$=nucltop&amp;blast_rank=42&amp;RID=200685ST016","XM_029884616.1")</f>
        <v>XM_029884616.1</v>
      </c>
    </row>
    <row r="529" spans="1:7" x14ac:dyDescent="0.35">
      <c r="A529" t="s">
        <v>550</v>
      </c>
      <c r="B529">
        <v>111</v>
      </c>
      <c r="C529">
        <v>111</v>
      </c>
      <c r="D529" s="2">
        <v>1</v>
      </c>
      <c r="E529" s="3">
        <v>1E-25</v>
      </c>
      <c r="F529">
        <v>39.68</v>
      </c>
      <c r="G529" t="str">
        <f>HYPERLINK("https://www.ncbi.nlm.nih.gov/nucleotide/XM_024488823.1?report=genbank&amp;log$=nucltop&amp;blast_rank=43&amp;RID=200685ST016","XM_024488823.1")</f>
        <v>XM_024488823.1</v>
      </c>
    </row>
    <row r="530" spans="1:7" x14ac:dyDescent="0.35">
      <c r="A530" t="s">
        <v>533</v>
      </c>
      <c r="B530">
        <v>57</v>
      </c>
      <c r="C530">
        <v>57</v>
      </c>
      <c r="D530" s="2">
        <v>0.36</v>
      </c>
      <c r="E530" s="3">
        <v>1.0000000000000001E-5</v>
      </c>
      <c r="F530">
        <v>39.47</v>
      </c>
      <c r="G530" t="str">
        <f>HYPERLINK("https://www.ncbi.nlm.nih.gov/nucleotide/XM_031996610.1?report=genbank&amp;log$=nucltop&amp;blast_rank=44&amp;RID=200685ST016","XM_031996610.1")</f>
        <v>XM_031996610.1</v>
      </c>
    </row>
    <row r="531" spans="1:7" x14ac:dyDescent="0.35">
      <c r="A531" t="s">
        <v>532</v>
      </c>
      <c r="B531">
        <v>53.5</v>
      </c>
      <c r="C531">
        <v>53.5</v>
      </c>
      <c r="D531" s="2">
        <v>0.36</v>
      </c>
      <c r="E531" s="3">
        <v>1E-4</v>
      </c>
      <c r="F531">
        <v>39.47</v>
      </c>
      <c r="G531" t="str">
        <f>HYPERLINK("https://www.ncbi.nlm.nih.gov/nucleotide/XM_031169085.1?report=genbank&amp;log$=nucltop&amp;blast_rank=45&amp;RID=200685ST016","XM_031169085.1")</f>
        <v>XM_031169085.1</v>
      </c>
    </row>
    <row r="532" spans="1:7" x14ac:dyDescent="0.35">
      <c r="A532" t="s">
        <v>1223</v>
      </c>
      <c r="B532">
        <v>46.6</v>
      </c>
      <c r="C532">
        <v>46.6</v>
      </c>
      <c r="D532" s="2">
        <v>0.36</v>
      </c>
      <c r="E532">
        <v>2.5999999999999999E-2</v>
      </c>
      <c r="F532">
        <v>39.47</v>
      </c>
      <c r="G532" t="str">
        <f>HYPERLINK("https://www.ncbi.nlm.nih.gov/nucleotide/XM_025491823.1?report=genbank&amp;log$=nucltop&amp;blast_rank=46&amp;RID=200685ST016","XM_025491823.1")</f>
        <v>XM_025491823.1</v>
      </c>
    </row>
    <row r="533" spans="1:7" x14ac:dyDescent="0.35">
      <c r="A533" t="s">
        <v>520</v>
      </c>
      <c r="B533">
        <v>50.8</v>
      </c>
      <c r="C533">
        <v>50.8</v>
      </c>
      <c r="D533" s="2">
        <v>0.32</v>
      </c>
      <c r="E533">
        <v>1E-3</v>
      </c>
      <c r="F533">
        <v>39.39</v>
      </c>
      <c r="G533" t="str">
        <f>HYPERLINK("https://www.ncbi.nlm.nih.gov/nucleotide/XM_009650122.1?report=genbank&amp;log$=nucltop&amp;blast_rank=47&amp;RID=200685ST016","XM_009650122.1")</f>
        <v>XM_009650122.1</v>
      </c>
    </row>
    <row r="534" spans="1:7" x14ac:dyDescent="0.35">
      <c r="A534" t="s">
        <v>521</v>
      </c>
      <c r="B534">
        <v>50.8</v>
      </c>
      <c r="C534">
        <v>50.8</v>
      </c>
      <c r="D534" s="2">
        <v>0.32</v>
      </c>
      <c r="E534">
        <v>1E-3</v>
      </c>
      <c r="F534">
        <v>39.39</v>
      </c>
      <c r="G534" t="str">
        <f>HYPERLINK("https://www.ncbi.nlm.nih.gov/nucleotide/XM_028641600.1?report=genbank&amp;log$=nucltop&amp;blast_rank=48&amp;RID=200685ST016","XM_028641600.1")</f>
        <v>XM_028641600.1</v>
      </c>
    </row>
    <row r="535" spans="1:7" x14ac:dyDescent="0.35">
      <c r="A535" t="s">
        <v>522</v>
      </c>
      <c r="B535">
        <v>50.8</v>
      </c>
      <c r="C535">
        <v>50.8</v>
      </c>
      <c r="D535" s="2">
        <v>0.32</v>
      </c>
      <c r="E535">
        <v>1E-3</v>
      </c>
      <c r="F535">
        <v>39.39</v>
      </c>
      <c r="G535" t="str">
        <f>HYPERLINK("https://www.ncbi.nlm.nih.gov/nucleotide/XM_003006008.1?report=genbank&amp;log$=nucltop&amp;blast_rank=49&amp;RID=200685ST016","XM_003006008.1")</f>
        <v>XM_003006008.1</v>
      </c>
    </row>
    <row r="536" spans="1:7" x14ac:dyDescent="0.35">
      <c r="A536" t="s">
        <v>250</v>
      </c>
      <c r="B536">
        <v>50.8</v>
      </c>
      <c r="C536">
        <v>50.8</v>
      </c>
      <c r="D536" s="2">
        <v>0.32</v>
      </c>
      <c r="E536">
        <v>2E-3</v>
      </c>
      <c r="F536">
        <v>39.39</v>
      </c>
      <c r="G536" t="str">
        <f>HYPERLINK("https://www.ncbi.nlm.nih.gov/nucleotide/CP010980.1?report=genbank&amp;log$=nucltop&amp;blast_rank=50&amp;RID=200685ST016","CP010980.1")</f>
        <v>CP010980.1</v>
      </c>
    </row>
    <row r="537" spans="1:7" x14ac:dyDescent="0.35">
      <c r="A537" t="s">
        <v>251</v>
      </c>
      <c r="B537">
        <v>50.8</v>
      </c>
      <c r="C537">
        <v>50.8</v>
      </c>
      <c r="D537" s="2">
        <v>0.32</v>
      </c>
      <c r="E537">
        <v>2E-3</v>
      </c>
      <c r="F537">
        <v>39.39</v>
      </c>
      <c r="G537" t="str">
        <f>HYPERLINK("https://www.ncbi.nlm.nih.gov/nucleotide/CP009075.1?report=genbank&amp;log$=nucltop&amp;blast_rank=51&amp;RID=200685ST016","CP009075.1")</f>
        <v>CP009075.1</v>
      </c>
    </row>
    <row r="538" spans="1:7" x14ac:dyDescent="0.35">
      <c r="A538" t="s">
        <v>542</v>
      </c>
      <c r="B538">
        <v>126</v>
      </c>
      <c r="C538">
        <v>126</v>
      </c>
      <c r="D538" s="2">
        <v>0.99</v>
      </c>
      <c r="E538" s="3">
        <v>2.0000000000000002E-31</v>
      </c>
      <c r="F538">
        <v>39</v>
      </c>
      <c r="G538" t="str">
        <f>HYPERLINK("https://www.ncbi.nlm.nih.gov/nucleotide/XM_001889471.1?report=genbank&amp;log$=nucltop&amp;blast_rank=52&amp;RID=200685ST016","XM_001889471.1")</f>
        <v>XM_001889471.1</v>
      </c>
    </row>
    <row r="539" spans="1:7" x14ac:dyDescent="0.35">
      <c r="A539" s="4" t="s">
        <v>494</v>
      </c>
      <c r="B539" s="4">
        <v>74.7</v>
      </c>
      <c r="C539" s="4">
        <v>134</v>
      </c>
      <c r="D539" s="5">
        <v>0.89</v>
      </c>
      <c r="E539" s="6">
        <v>8.9999999999999996E-12</v>
      </c>
      <c r="F539" s="4">
        <v>38.979999999999997</v>
      </c>
      <c r="G539" s="4" t="str">
        <f>HYPERLINK("https://www.ncbi.nlm.nih.gov/nucleotide/XM_001835028.2?report=genbank&amp;log$=nucltop&amp;blast_rank=53&amp;RID=200685ST016","XM_001835028.2")</f>
        <v>XM_001835028.2</v>
      </c>
    </row>
    <row r="540" spans="1:7" x14ac:dyDescent="0.35">
      <c r="A540" t="s">
        <v>543</v>
      </c>
      <c r="B540">
        <v>120</v>
      </c>
      <c r="C540">
        <v>120</v>
      </c>
      <c r="D540" s="2">
        <v>0.99</v>
      </c>
      <c r="E540" s="3">
        <v>9.9999999999999994E-30</v>
      </c>
      <c r="F540">
        <v>38.89</v>
      </c>
      <c r="G540" t="str">
        <f>HYPERLINK("https://www.ncbi.nlm.nih.gov/nucleotide/XM_036771613.1?report=genbank&amp;log$=nucltop&amp;blast_rank=54&amp;RID=200685ST016","XM_036771613.1")</f>
        <v>XM_036771613.1</v>
      </c>
    </row>
    <row r="541" spans="1:7" x14ac:dyDescent="0.35">
      <c r="A541" t="s">
        <v>238</v>
      </c>
      <c r="B541">
        <v>47.4</v>
      </c>
      <c r="C541">
        <v>47.4</v>
      </c>
      <c r="D541" s="2">
        <v>0.32</v>
      </c>
      <c r="E541">
        <v>0.02</v>
      </c>
      <c r="F541">
        <v>38.81</v>
      </c>
      <c r="G541" t="str">
        <f>HYPERLINK("https://www.ncbi.nlm.nih.gov/nucleotide/XM_018333445.1?report=genbank&amp;log$=nucltop&amp;blast_rank=55&amp;RID=200685ST016","XM_018333445.1")</f>
        <v>XM_018333445.1</v>
      </c>
    </row>
    <row r="542" spans="1:7" x14ac:dyDescent="0.35">
      <c r="A542" t="s">
        <v>548</v>
      </c>
      <c r="B542">
        <v>97.4</v>
      </c>
      <c r="C542">
        <v>97.4</v>
      </c>
      <c r="D542" s="2">
        <v>0.83</v>
      </c>
      <c r="E542" s="3">
        <v>4.9999999999999997E-21</v>
      </c>
      <c r="F542">
        <v>38.729999999999997</v>
      </c>
      <c r="G542" t="str">
        <f>HYPERLINK("https://www.ncbi.nlm.nih.gov/nucleotide/LR724312.1?report=genbank&amp;log$=nucltop&amp;blast_rank=56&amp;RID=200685ST016","LR724312.1")</f>
        <v>LR724312.1</v>
      </c>
    </row>
    <row r="543" spans="1:7" x14ac:dyDescent="0.35">
      <c r="A543" t="s">
        <v>120</v>
      </c>
      <c r="B543">
        <v>103</v>
      </c>
      <c r="C543">
        <v>103</v>
      </c>
      <c r="D543" s="2">
        <v>1</v>
      </c>
      <c r="E543" s="3">
        <v>1.9999999999999999E-23</v>
      </c>
      <c r="F543">
        <v>38.619999999999997</v>
      </c>
      <c r="G543" t="str">
        <f>HYPERLINK("https://www.ncbi.nlm.nih.gov/nucleotide/XM_012328251.1?report=genbank&amp;log$=nucltop&amp;blast_rank=57&amp;RID=200685ST016","XM_012328251.1")</f>
        <v>XM_012328251.1</v>
      </c>
    </row>
    <row r="544" spans="1:7" x14ac:dyDescent="0.35">
      <c r="A544" t="s">
        <v>535</v>
      </c>
      <c r="B544">
        <v>53.5</v>
      </c>
      <c r="C544">
        <v>53.5</v>
      </c>
      <c r="D544" s="2">
        <v>0.35</v>
      </c>
      <c r="E544" s="3">
        <v>9.0000000000000006E-5</v>
      </c>
      <c r="F544">
        <v>38.36</v>
      </c>
      <c r="G544" t="str">
        <f>HYPERLINK("https://www.ncbi.nlm.nih.gov/nucleotide/XM_014690294.1?report=genbank&amp;log$=nucltop&amp;blast_rank=58&amp;RID=200685ST016","XM_014690294.1")</f>
        <v>XM_014690294.1</v>
      </c>
    </row>
    <row r="545" spans="1:7" x14ac:dyDescent="0.35">
      <c r="A545" t="s">
        <v>536</v>
      </c>
      <c r="B545">
        <v>53.9</v>
      </c>
      <c r="C545">
        <v>53.9</v>
      </c>
      <c r="D545" s="2">
        <v>0.35</v>
      </c>
      <c r="E545" s="3">
        <v>2.0000000000000001E-4</v>
      </c>
      <c r="F545">
        <v>38.36</v>
      </c>
      <c r="G545" t="str">
        <f>HYPERLINK("https://www.ncbi.nlm.nih.gov/nucleotide/CP058935.1?report=genbank&amp;log$=nucltop&amp;blast_rank=59&amp;RID=200685ST016","CP058935.1")</f>
        <v>CP058935.1</v>
      </c>
    </row>
    <row r="546" spans="1:7" x14ac:dyDescent="0.35">
      <c r="A546" s="4" t="s">
        <v>539</v>
      </c>
      <c r="B546" s="4">
        <v>52.8</v>
      </c>
      <c r="C546" s="4">
        <v>52.8</v>
      </c>
      <c r="D546" s="5">
        <v>0.35</v>
      </c>
      <c r="E546" s="6">
        <v>2.0000000000000001E-4</v>
      </c>
      <c r="F546" s="4">
        <v>38.36</v>
      </c>
      <c r="G546" s="4" t="str">
        <f>HYPERLINK("https://www.ncbi.nlm.nih.gov/nucleotide/XM_007820685.2?report=genbank&amp;log$=nucltop&amp;blast_rank=60&amp;RID=200685ST016","XM_007820685.2")</f>
        <v>XM_007820685.2</v>
      </c>
    </row>
    <row r="547" spans="1:7" x14ac:dyDescent="0.35">
      <c r="A547" t="s">
        <v>326</v>
      </c>
      <c r="B547">
        <v>49.3</v>
      </c>
      <c r="C547">
        <v>49.3</v>
      </c>
      <c r="D547" s="2">
        <v>0.35</v>
      </c>
      <c r="E547">
        <v>4.0000000000000001E-3</v>
      </c>
      <c r="F547">
        <v>38.36</v>
      </c>
      <c r="G547" t="str">
        <f>HYPERLINK("https://www.ncbi.nlm.nih.gov/nucleotide/XM_014715723.1?report=genbank&amp;log$=nucltop&amp;blast_rank=61&amp;RID=200685ST016","XM_014715723.1")</f>
        <v>XM_014715723.1</v>
      </c>
    </row>
    <row r="548" spans="1:7" x14ac:dyDescent="0.35">
      <c r="A548" t="s">
        <v>540</v>
      </c>
      <c r="B548">
        <v>49.7</v>
      </c>
      <c r="C548">
        <v>49.7</v>
      </c>
      <c r="D548" s="2">
        <v>0.35</v>
      </c>
      <c r="E548">
        <v>5.0000000000000001E-3</v>
      </c>
      <c r="F548">
        <v>38.36</v>
      </c>
      <c r="G548" t="str">
        <f>HYPERLINK("https://www.ncbi.nlm.nih.gov/nucleotide/CP031388.1?report=genbank&amp;log$=nucltop&amp;blast_rank=62&amp;RID=200685ST016","CP031388.1")</f>
        <v>CP031388.1</v>
      </c>
    </row>
    <row r="549" spans="1:7" x14ac:dyDescent="0.35">
      <c r="A549" t="s">
        <v>109</v>
      </c>
      <c r="B549">
        <v>92.8</v>
      </c>
      <c r="C549">
        <v>92.8</v>
      </c>
      <c r="D549" s="2">
        <v>0.9</v>
      </c>
      <c r="E549" s="3">
        <v>7.9999999999999998E-19</v>
      </c>
      <c r="F549">
        <v>37.9</v>
      </c>
      <c r="G549" t="str">
        <f>HYPERLINK("https://www.ncbi.nlm.nih.gov/nucleotide/XM_007871865.1?report=genbank&amp;log$=nucltop&amp;blast_rank=63&amp;RID=200685ST016","XM_007871865.1")</f>
        <v>XM_007871865.1</v>
      </c>
    </row>
    <row r="550" spans="1:7" x14ac:dyDescent="0.35">
      <c r="A550" t="s">
        <v>534</v>
      </c>
      <c r="B550">
        <v>99.4</v>
      </c>
      <c r="C550">
        <v>99.4</v>
      </c>
      <c r="D550" s="2">
        <v>0.81</v>
      </c>
      <c r="E550" s="3">
        <v>9.9999999999999991E-22</v>
      </c>
      <c r="F550">
        <v>37.799999999999997</v>
      </c>
      <c r="G550" t="str">
        <f>HYPERLINK("https://www.ncbi.nlm.nih.gov/nucleotide/XM_006456006.1?report=genbank&amp;log$=nucltop&amp;blast_rank=64&amp;RID=200685ST016","XM_006456006.1")</f>
        <v>XM_006456006.1</v>
      </c>
    </row>
    <row r="551" spans="1:7" x14ac:dyDescent="0.35">
      <c r="A551" t="s">
        <v>544</v>
      </c>
      <c r="B551">
        <v>95.5</v>
      </c>
      <c r="C551">
        <v>95.5</v>
      </c>
      <c r="D551" s="2">
        <v>0.98</v>
      </c>
      <c r="E551" s="3">
        <v>9.9999999999999998E-20</v>
      </c>
      <c r="F551">
        <v>37.5</v>
      </c>
      <c r="G551" t="str">
        <f>HYPERLINK("https://www.ncbi.nlm.nih.gov/nucleotide/XM_007387247.1?report=genbank&amp;log$=nucltop&amp;blast_rank=65&amp;RID=200685ST016","XM_007387247.1")</f>
        <v>XM_007387247.1</v>
      </c>
    </row>
    <row r="552" spans="1:7" x14ac:dyDescent="0.35">
      <c r="A552" t="s">
        <v>541</v>
      </c>
      <c r="B552">
        <v>99.8</v>
      </c>
      <c r="C552">
        <v>99.8</v>
      </c>
      <c r="D552" s="2">
        <v>0.81</v>
      </c>
      <c r="E552" s="3">
        <v>3.0000000000000003E-20</v>
      </c>
      <c r="F552">
        <v>37.26</v>
      </c>
      <c r="G552" t="str">
        <f>HYPERLINK("https://www.ncbi.nlm.nih.gov/nucleotide/XM_007331837.1?report=genbank&amp;log$=nucltop&amp;blast_rank=66&amp;RID=200685ST016","XM_007331837.1")</f>
        <v>XM_007331837.1</v>
      </c>
    </row>
    <row r="553" spans="1:7" x14ac:dyDescent="0.35">
      <c r="A553" s="4" t="s">
        <v>545</v>
      </c>
      <c r="B553" s="4">
        <v>51.6</v>
      </c>
      <c r="C553" s="4">
        <v>51.6</v>
      </c>
      <c r="D553" s="5">
        <v>0.35</v>
      </c>
      <c r="E553" s="6">
        <v>4.0000000000000002E-4</v>
      </c>
      <c r="F553" s="4">
        <v>36.99</v>
      </c>
      <c r="G553" s="4" t="str">
        <f>HYPERLINK("https://www.ncbi.nlm.nih.gov/nucleotide/XM_007816901.1?report=genbank&amp;log$=nucltop&amp;blast_rank=67&amp;RID=200685ST016","XM_007816901.1")</f>
        <v>XM_007816901.1</v>
      </c>
    </row>
    <row r="554" spans="1:7" x14ac:dyDescent="0.35">
      <c r="A554" t="s">
        <v>745</v>
      </c>
      <c r="B554">
        <v>51.2</v>
      </c>
      <c r="C554">
        <v>51.2</v>
      </c>
      <c r="D554" s="2">
        <v>0.35</v>
      </c>
      <c r="E554" s="3">
        <v>8.9999999999999998E-4</v>
      </c>
      <c r="F554">
        <v>36.99</v>
      </c>
      <c r="G554" t="str">
        <f>HYPERLINK("https://www.ncbi.nlm.nih.gov/nucleotide/XM_028910910.1?report=genbank&amp;log$=nucltop&amp;blast_rank=68&amp;RID=200685ST016","XM_028910910.1")</f>
        <v>XM_028910910.1</v>
      </c>
    </row>
    <row r="555" spans="1:7" x14ac:dyDescent="0.35">
      <c r="A555" t="s">
        <v>537</v>
      </c>
      <c r="B555">
        <v>50.1</v>
      </c>
      <c r="C555">
        <v>50.1</v>
      </c>
      <c r="D555" s="2">
        <v>0.35</v>
      </c>
      <c r="E555">
        <v>2E-3</v>
      </c>
      <c r="F555">
        <v>36.99</v>
      </c>
      <c r="G555" t="str">
        <f>HYPERLINK("https://www.ncbi.nlm.nih.gov/nucleotide/XM_003335641.1?report=genbank&amp;log$=nucltop&amp;blast_rank=69&amp;RID=200685ST016","XM_003335641.1")</f>
        <v>XM_003335641.1</v>
      </c>
    </row>
    <row r="556" spans="1:7" x14ac:dyDescent="0.35">
      <c r="A556" t="s">
        <v>538</v>
      </c>
      <c r="B556">
        <v>50.1</v>
      </c>
      <c r="C556">
        <v>50.1</v>
      </c>
      <c r="D556" s="2">
        <v>0.35</v>
      </c>
      <c r="E556">
        <v>2E-3</v>
      </c>
      <c r="F556">
        <v>36.99</v>
      </c>
      <c r="G556" t="str">
        <f>HYPERLINK("https://www.ncbi.nlm.nih.gov/nucleotide/XM_003338747.2?report=genbank&amp;log$=nucltop&amp;blast_rank=70&amp;RID=200685ST016","XM_003338747.2")</f>
        <v>XM_003338747.2</v>
      </c>
    </row>
    <row r="557" spans="1:7" x14ac:dyDescent="0.35">
      <c r="A557" t="s">
        <v>1224</v>
      </c>
      <c r="B557">
        <v>46.2</v>
      </c>
      <c r="C557">
        <v>46.2</v>
      </c>
      <c r="D557" s="2">
        <v>0.33</v>
      </c>
      <c r="E557">
        <v>4.2999999999999997E-2</v>
      </c>
      <c r="F557">
        <v>36.229999999999997</v>
      </c>
      <c r="G557" t="str">
        <f>HYPERLINK("https://www.ncbi.nlm.nih.gov/nucleotide/XM_018850246.1?report=genbank&amp;log$=nucltop&amp;blast_rank=71&amp;RID=200685ST016","XM_018850246.1")</f>
        <v>XM_018850246.1</v>
      </c>
    </row>
    <row r="558" spans="1:7" x14ac:dyDescent="0.35">
      <c r="A558" t="s">
        <v>549</v>
      </c>
      <c r="B558">
        <v>97.1</v>
      </c>
      <c r="C558">
        <v>97.1</v>
      </c>
      <c r="D558" s="2">
        <v>0.9</v>
      </c>
      <c r="E558" s="3">
        <v>8.9999999999999994E-21</v>
      </c>
      <c r="F558">
        <v>35.56</v>
      </c>
      <c r="G558" t="str">
        <f>HYPERLINK("https://www.ncbi.nlm.nih.gov/nucleotide/XM_007363302.1?report=genbank&amp;log$=nucltop&amp;blast_rank=72&amp;RID=200685ST016","XM_007363302.1")</f>
        <v>XM_007363302.1</v>
      </c>
    </row>
    <row r="559" spans="1:7" x14ac:dyDescent="0.35">
      <c r="A559" t="s">
        <v>546</v>
      </c>
      <c r="B559">
        <v>55.8</v>
      </c>
      <c r="C559">
        <v>55.8</v>
      </c>
      <c r="D559" s="2">
        <v>0.39</v>
      </c>
      <c r="E559" s="3">
        <v>2.0000000000000002E-5</v>
      </c>
      <c r="F559">
        <v>35.369999999999997</v>
      </c>
      <c r="G559" t="str">
        <f>HYPERLINK("https://www.ncbi.nlm.nih.gov/nucleotide/XM_018878767.1?report=genbank&amp;log$=nucltop&amp;blast_rank=73&amp;RID=200685ST016","XM_018878767.1")</f>
        <v>XM_018878767.1</v>
      </c>
    </row>
    <row r="560" spans="1:7" x14ac:dyDescent="0.35">
      <c r="A560" t="s">
        <v>547</v>
      </c>
      <c r="B560">
        <v>55.5</v>
      </c>
      <c r="C560">
        <v>55.5</v>
      </c>
      <c r="D560" s="2">
        <v>0.39</v>
      </c>
      <c r="E560" s="3">
        <v>5.0000000000000002E-5</v>
      </c>
      <c r="F560">
        <v>35.369999999999997</v>
      </c>
      <c r="G560" t="str">
        <f>HYPERLINK("https://www.ncbi.nlm.nih.gov/nucleotide/CP014501.1?report=genbank&amp;log$=nucltop&amp;blast_rank=74&amp;RID=200685ST016","CP014501.1")</f>
        <v>CP014501.1</v>
      </c>
    </row>
    <row r="561" spans="1:7" x14ac:dyDescent="0.35">
      <c r="A561" t="s">
        <v>561</v>
      </c>
      <c r="B561">
        <v>71.599999999999994</v>
      </c>
      <c r="C561">
        <v>71.599999999999994</v>
      </c>
      <c r="D561" s="2">
        <v>0.9</v>
      </c>
      <c r="E561" s="3">
        <v>1E-10</v>
      </c>
      <c r="F561">
        <v>34.93</v>
      </c>
      <c r="G561" t="str">
        <f>HYPERLINK("https://www.ncbi.nlm.nih.gov/nucleotide/XM_007397925.1?report=genbank&amp;log$=nucltop&amp;blast_rank=75&amp;RID=200685ST016","XM_007397925.1")</f>
        <v>XM_007397925.1</v>
      </c>
    </row>
    <row r="562" spans="1:7" x14ac:dyDescent="0.35">
      <c r="A562" t="s">
        <v>126</v>
      </c>
      <c r="B562">
        <v>85.9</v>
      </c>
      <c r="C562">
        <v>85.9</v>
      </c>
      <c r="D562" s="2">
        <v>0.97</v>
      </c>
      <c r="E562" s="3">
        <v>2.9999999999999999E-16</v>
      </c>
      <c r="F562">
        <v>34.39</v>
      </c>
      <c r="G562" t="str">
        <f>HYPERLINK("https://www.ncbi.nlm.nih.gov/nucleotide/XM_007776238.1?report=genbank&amp;log$=nucltop&amp;blast_rank=76&amp;RID=200685ST016","XM_007776238.1")</f>
        <v>XM_007776238.1</v>
      </c>
    </row>
    <row r="563" spans="1:7" x14ac:dyDescent="0.35">
      <c r="A563" t="s">
        <v>552</v>
      </c>
      <c r="B563">
        <v>89.4</v>
      </c>
      <c r="C563">
        <v>89.4</v>
      </c>
      <c r="D563" s="2">
        <v>0.85</v>
      </c>
      <c r="E563" s="3">
        <v>4.0000000000000003E-17</v>
      </c>
      <c r="F563">
        <v>34.130000000000003</v>
      </c>
      <c r="G563" t="str">
        <f>HYPERLINK("https://www.ncbi.nlm.nih.gov/nucleotide/XM_007307010.1?report=genbank&amp;log$=nucltop&amp;blast_rank=77&amp;RID=200685ST016","XM_007307010.1")</f>
        <v>XM_007307010.1</v>
      </c>
    </row>
    <row r="564" spans="1:7" x14ac:dyDescent="0.35">
      <c r="A564" t="s">
        <v>554</v>
      </c>
      <c r="B564">
        <v>81.599999999999994</v>
      </c>
      <c r="C564">
        <v>81.599999999999994</v>
      </c>
      <c r="D564" s="2">
        <v>0.89</v>
      </c>
      <c r="E564" s="3">
        <v>5E-15</v>
      </c>
      <c r="F564">
        <v>33.799999999999997</v>
      </c>
      <c r="G564" t="str">
        <f>HYPERLINK("https://www.ncbi.nlm.nih.gov/nucleotide/XM_039054122.1?report=genbank&amp;log$=nucltop&amp;blast_rank=78&amp;RID=200685ST016","XM_039054122.1")</f>
        <v>XM_039054122.1</v>
      </c>
    </row>
    <row r="565" spans="1:7" x14ac:dyDescent="0.35">
      <c r="A565" t="s">
        <v>555</v>
      </c>
      <c r="B565">
        <v>94.7</v>
      </c>
      <c r="C565">
        <v>94.7</v>
      </c>
      <c r="D565" s="2">
        <v>0.9</v>
      </c>
      <c r="E565" s="3">
        <v>5.0000000000000004E-19</v>
      </c>
      <c r="F565">
        <v>32.9</v>
      </c>
      <c r="G565" t="str">
        <f>HYPERLINK("https://www.ncbi.nlm.nih.gov/nucleotide/XM_009554598.1?report=genbank&amp;log$=nucltop&amp;blast_rank=79&amp;RID=200685ST016","XM_009554598.1")</f>
        <v>XM_009554598.1</v>
      </c>
    </row>
    <row r="566" spans="1:7" x14ac:dyDescent="0.35">
      <c r="A566" t="s">
        <v>556</v>
      </c>
      <c r="B566">
        <v>98.2</v>
      </c>
      <c r="C566">
        <v>98.2</v>
      </c>
      <c r="D566" s="2">
        <v>0.9</v>
      </c>
      <c r="E566" s="3">
        <v>3.9999999999999998E-20</v>
      </c>
      <c r="F566">
        <v>32.64</v>
      </c>
      <c r="G566" t="str">
        <f>HYPERLINK("https://www.ncbi.nlm.nih.gov/nucleotide/XM_007323234.1?report=genbank&amp;log$=nucltop&amp;blast_rank=80&amp;RID=200685ST016","XM_007323234.1")</f>
        <v>XM_007323234.1</v>
      </c>
    </row>
    <row r="567" spans="1:7" x14ac:dyDescent="0.35">
      <c r="A567" t="s">
        <v>558</v>
      </c>
      <c r="B567">
        <v>84</v>
      </c>
      <c r="C567">
        <v>84</v>
      </c>
      <c r="D567" s="2">
        <v>0.9</v>
      </c>
      <c r="E567" s="3">
        <v>7.0000000000000003E-16</v>
      </c>
      <c r="F567">
        <v>32.479999999999997</v>
      </c>
      <c r="G567" t="str">
        <f>HYPERLINK("https://www.ncbi.nlm.nih.gov/nucleotide/XM_007261781.1?report=genbank&amp;log$=nucltop&amp;blast_rank=81&amp;RID=200685ST016","XM_007261781.1")</f>
        <v>XM_007261781.1</v>
      </c>
    </row>
    <row r="568" spans="1:7" x14ac:dyDescent="0.35">
      <c r="A568" t="s">
        <v>557</v>
      </c>
      <c r="B568">
        <v>47.4</v>
      </c>
      <c r="C568">
        <v>47.4</v>
      </c>
      <c r="D568" s="2">
        <v>0.36</v>
      </c>
      <c r="E568">
        <v>1.6E-2</v>
      </c>
      <c r="F568">
        <v>32</v>
      </c>
      <c r="G568" t="str">
        <f>HYPERLINK("https://www.ncbi.nlm.nih.gov/nucleotide/XM_002676712.1?report=genbank&amp;log$=nucltop&amp;blast_rank=82&amp;RID=200685ST016","XM_002676712.1")</f>
        <v>XM_002676712.1</v>
      </c>
    </row>
    <row r="569" spans="1:7" x14ac:dyDescent="0.35">
      <c r="A569" t="s">
        <v>559</v>
      </c>
      <c r="B569">
        <v>71.2</v>
      </c>
      <c r="C569">
        <v>71.2</v>
      </c>
      <c r="D569" s="2">
        <v>0.88</v>
      </c>
      <c r="E569" s="3">
        <v>2.0000000000000001E-10</v>
      </c>
      <c r="F569">
        <v>29.81</v>
      </c>
      <c r="G569" t="str">
        <f>HYPERLINK("https://www.ncbi.nlm.nih.gov/nucleotide/XM_022025918.1?report=genbank&amp;log$=nucltop&amp;blast_rank=83&amp;RID=200685ST016","XM_022025918.1")</f>
        <v>XM_022025918.1</v>
      </c>
    </row>
    <row r="570" spans="1:7" x14ac:dyDescent="0.35">
      <c r="A570" s="4" t="s">
        <v>560</v>
      </c>
      <c r="B570" s="4">
        <v>51.2</v>
      </c>
      <c r="C570" s="4">
        <v>51.2</v>
      </c>
      <c r="D570" s="5">
        <v>0.73</v>
      </c>
      <c r="E570" s="6">
        <v>6.9999999999999999E-4</v>
      </c>
      <c r="F570" s="4">
        <v>28.12</v>
      </c>
      <c r="G570" s="4" t="str">
        <f>HYPERLINK("https://www.ncbi.nlm.nih.gov/nucleotide/XM_016417724.1?report=genbank&amp;log$=nucltop&amp;blast_rank=84&amp;RID=200685ST016","XM_016417724.1")</f>
        <v>XM_016417724.1</v>
      </c>
    </row>
    <row r="571" spans="1:7" x14ac:dyDescent="0.35">
      <c r="A571" t="s">
        <v>1225</v>
      </c>
      <c r="B571">
        <v>48.1</v>
      </c>
      <c r="C571">
        <v>48.1</v>
      </c>
      <c r="D571" s="2">
        <v>0.7</v>
      </c>
      <c r="E571">
        <v>3.0000000000000001E-3</v>
      </c>
      <c r="F571">
        <v>26.8</v>
      </c>
      <c r="G571" t="str">
        <f>HYPERLINK("https://www.ncbi.nlm.nih.gov/nucleotide/XM_009269931.1?report=genbank&amp;log$=nucltop&amp;blast_rank=85&amp;RID=200685ST016","XM_009269931.1")</f>
        <v>XM_009269931.1</v>
      </c>
    </row>
    <row r="572" spans="1:7" x14ac:dyDescent="0.35">
      <c r="A572" t="s">
        <v>1226</v>
      </c>
      <c r="B572">
        <v>49.7</v>
      </c>
      <c r="C572">
        <v>49.7</v>
      </c>
      <c r="D572" s="2">
        <v>0.72</v>
      </c>
      <c r="E572">
        <v>4.0000000000000001E-3</v>
      </c>
      <c r="F572">
        <v>25.97</v>
      </c>
      <c r="G572" t="str">
        <f>HYPERLINK("https://www.ncbi.nlm.nih.gov/nucleotide/XM_006957374.1?report=genbank&amp;log$=nucltop&amp;blast_rank=86&amp;RID=200685ST016","XM_006957374.1")</f>
        <v>XM_006957374.1</v>
      </c>
    </row>
    <row r="573" spans="1:7" x14ac:dyDescent="0.35">
      <c r="A573" t="s">
        <v>551</v>
      </c>
      <c r="B573">
        <v>54.3</v>
      </c>
      <c r="C573">
        <v>54.3</v>
      </c>
      <c r="D573" s="2">
        <v>0.89</v>
      </c>
      <c r="E573" s="3">
        <v>1E-4</v>
      </c>
      <c r="F573">
        <v>25.3</v>
      </c>
      <c r="G573" t="str">
        <f>HYPERLINK("https://www.ncbi.nlm.nih.gov/nucleotide/XM_019170232.1?report=genbank&amp;log$=nucltop&amp;blast_rank=87&amp;RID=200685ST016","XM_019170232.1")</f>
        <v>XM_019170232.1</v>
      </c>
    </row>
    <row r="574" spans="1:7" x14ac:dyDescent="0.35">
      <c r="A574" t="s">
        <v>1227</v>
      </c>
      <c r="B574">
        <v>51.2</v>
      </c>
      <c r="C574">
        <v>51.2</v>
      </c>
      <c r="D574" s="2">
        <v>0.89</v>
      </c>
      <c r="E574">
        <v>1E-3</v>
      </c>
      <c r="F574">
        <v>24.34</v>
      </c>
      <c r="G574" t="str">
        <f>HYPERLINK("https://www.ncbi.nlm.nih.gov/nucleotide/XM_006957375.1?report=genbank&amp;log$=nucltop&amp;blast_rank=88&amp;RID=200685ST016","XM_006957375.1")</f>
        <v>XM_006957375.1</v>
      </c>
    </row>
    <row r="575" spans="1:7" x14ac:dyDescent="0.35">
      <c r="A575" s="1" t="s">
        <v>1228</v>
      </c>
    </row>
    <row r="576" spans="1:7" x14ac:dyDescent="0.35">
      <c r="A576" s="1" t="s">
        <v>2</v>
      </c>
      <c r="B576" s="1" t="s">
        <v>3</v>
      </c>
      <c r="C576" s="1" t="s">
        <v>4</v>
      </c>
      <c r="D576" s="1" t="s">
        <v>5</v>
      </c>
      <c r="E576" s="1" t="s">
        <v>6</v>
      </c>
      <c r="F576" s="1" t="s">
        <v>7</v>
      </c>
      <c r="G576" s="1" t="s">
        <v>8</v>
      </c>
    </row>
    <row r="577" spans="1:7" x14ac:dyDescent="0.35">
      <c r="A577" t="s">
        <v>37</v>
      </c>
      <c r="B577">
        <v>905</v>
      </c>
      <c r="C577">
        <v>996</v>
      </c>
      <c r="D577" s="2">
        <v>0.99</v>
      </c>
      <c r="E577">
        <v>0</v>
      </c>
      <c r="F577">
        <v>88.54</v>
      </c>
      <c r="G577" t="str">
        <f>HYPERLINK("https://www.ncbi.nlm.nih.gov/nucleotide/LR732085.1?report=genbank&amp;log$=nucltop&amp;blast_rank=1&amp;RID=2007VCB4016","LR732085.1")</f>
        <v>LR732085.1</v>
      </c>
    </row>
    <row r="578" spans="1:7" x14ac:dyDescent="0.35">
      <c r="A578" t="s">
        <v>29</v>
      </c>
      <c r="B578">
        <v>408</v>
      </c>
      <c r="C578">
        <v>408</v>
      </c>
      <c r="D578" s="2">
        <v>0.73</v>
      </c>
      <c r="E578" s="3">
        <v>8.9999999999999999E-132</v>
      </c>
      <c r="F578">
        <v>49.54</v>
      </c>
      <c r="G578" t="str">
        <f>HYPERLINK("https://www.ncbi.nlm.nih.gov/nucleotide/XM_036779059.1?report=genbank&amp;log$=nucltop&amp;blast_rank=2&amp;RID=2007VCB4016","XM_036779059.1")</f>
        <v>XM_036779059.1</v>
      </c>
    </row>
    <row r="579" spans="1:7" x14ac:dyDescent="0.35">
      <c r="A579" t="s">
        <v>24</v>
      </c>
      <c r="B579">
        <v>408</v>
      </c>
      <c r="C579">
        <v>408</v>
      </c>
      <c r="D579" s="2">
        <v>0.75</v>
      </c>
      <c r="E579" s="3">
        <v>9.9999999999999999E-132</v>
      </c>
      <c r="F579">
        <v>48.88</v>
      </c>
      <c r="G579" t="str">
        <f>HYPERLINK("https://www.ncbi.nlm.nih.gov/nucleotide/XM_037359093.1?report=genbank&amp;log$=nucltop&amp;blast_rank=3&amp;RID=2007VCB4016","XM_037359093.1")</f>
        <v>XM_037359093.1</v>
      </c>
    </row>
    <row r="580" spans="1:7" x14ac:dyDescent="0.35">
      <c r="A580" t="s">
        <v>19</v>
      </c>
      <c r="B580">
        <v>399</v>
      </c>
      <c r="C580">
        <v>399</v>
      </c>
      <c r="D580" s="2">
        <v>0.73</v>
      </c>
      <c r="E580" s="3">
        <v>2.0000000000000001E-128</v>
      </c>
      <c r="F580">
        <v>48.85</v>
      </c>
      <c r="G580" t="str">
        <f>HYPERLINK("https://www.ncbi.nlm.nih.gov/nucleotide/XM_001880890.1?report=genbank&amp;log$=nucltop&amp;blast_rank=4&amp;RID=2007VCB4016","XM_001880890.1")</f>
        <v>XM_001880890.1</v>
      </c>
    </row>
    <row r="581" spans="1:7" x14ac:dyDescent="0.35">
      <c r="A581" t="s">
        <v>34</v>
      </c>
      <c r="B581">
        <v>422</v>
      </c>
      <c r="C581">
        <v>422</v>
      </c>
      <c r="D581" s="2">
        <v>0.81</v>
      </c>
      <c r="E581" s="3">
        <v>3.9999999999999999E-137</v>
      </c>
      <c r="F581">
        <v>47.72</v>
      </c>
      <c r="G581" t="str">
        <f>HYPERLINK("https://www.ncbi.nlm.nih.gov/nucleotide/XM_001836368.2?report=genbank&amp;log$=nucltop&amp;blast_rank=5&amp;RID=2007VCB4016","XM_001836368.2")</f>
        <v>XM_001836368.2</v>
      </c>
    </row>
    <row r="582" spans="1:7" x14ac:dyDescent="0.35">
      <c r="A582" t="s">
        <v>33</v>
      </c>
      <c r="B582">
        <v>389</v>
      </c>
      <c r="C582">
        <v>389</v>
      </c>
      <c r="D582" s="2">
        <v>0.73</v>
      </c>
      <c r="E582" s="3">
        <v>1.0000000000000001E-123</v>
      </c>
      <c r="F582">
        <v>47.7</v>
      </c>
      <c r="G582" t="str">
        <f>HYPERLINK("https://www.ncbi.nlm.nih.gov/nucleotide/XM_007300020.1?report=genbank&amp;log$=nucltop&amp;blast_rank=6&amp;RID=2007VCB4016","XM_007300020.1")</f>
        <v>XM_007300020.1</v>
      </c>
    </row>
    <row r="583" spans="1:7" x14ac:dyDescent="0.35">
      <c r="A583" t="s">
        <v>9</v>
      </c>
      <c r="B583">
        <v>145</v>
      </c>
      <c r="C583">
        <v>259</v>
      </c>
      <c r="D583" s="2">
        <v>0.51</v>
      </c>
      <c r="E583" s="3">
        <v>2E-52</v>
      </c>
      <c r="F583">
        <v>46.84</v>
      </c>
      <c r="G583" t="str">
        <f>HYPERLINK("https://www.ncbi.nlm.nih.gov/nucleotide/LR732079.1?report=genbank&amp;log$=nucltop&amp;blast_rank=7&amp;RID=2007VCB4016","LR732079.1")</f>
        <v>LR732079.1</v>
      </c>
    </row>
    <row r="584" spans="1:7" x14ac:dyDescent="0.35">
      <c r="A584" t="s">
        <v>25</v>
      </c>
      <c r="B584">
        <v>385</v>
      </c>
      <c r="C584">
        <v>385</v>
      </c>
      <c r="D584" s="2">
        <v>0.73</v>
      </c>
      <c r="E584" s="3">
        <v>8.9999999999999999E-123</v>
      </c>
      <c r="F584">
        <v>46.76</v>
      </c>
      <c r="G584" t="str">
        <f>HYPERLINK("https://www.ncbi.nlm.nih.gov/nucleotide/XM_007330400.1?report=genbank&amp;log$=nucltop&amp;blast_rank=8&amp;RID=2007VCB4016","XM_007330400.1")</f>
        <v>XM_007330400.1</v>
      </c>
    </row>
    <row r="585" spans="1:7" x14ac:dyDescent="0.35">
      <c r="A585" t="s">
        <v>21</v>
      </c>
      <c r="B585">
        <v>380</v>
      </c>
      <c r="C585">
        <v>380</v>
      </c>
      <c r="D585" s="2">
        <v>0.73</v>
      </c>
      <c r="E585" s="3">
        <v>6.0000000000000002E-120</v>
      </c>
      <c r="F585">
        <v>46.64</v>
      </c>
      <c r="G585" t="str">
        <f>HYPERLINK("https://www.ncbi.nlm.nih.gov/nucleotide/XM_009546985.1?report=genbank&amp;log$=nucltop&amp;blast_rank=9&amp;RID=2007VCB4016","XM_009546985.1")</f>
        <v>XM_009546985.1</v>
      </c>
    </row>
    <row r="586" spans="1:7" x14ac:dyDescent="0.35">
      <c r="A586" t="s">
        <v>26</v>
      </c>
      <c r="B586">
        <v>384</v>
      </c>
      <c r="C586">
        <v>384</v>
      </c>
      <c r="D586" s="2">
        <v>0.73</v>
      </c>
      <c r="E586" s="3">
        <v>3E-122</v>
      </c>
      <c r="F586">
        <v>46.53</v>
      </c>
      <c r="G586" t="str">
        <f>HYPERLINK("https://www.ncbi.nlm.nih.gov/nucleotide/XM_006459162.1?report=genbank&amp;log$=nucltop&amp;blast_rank=10&amp;RID=2007VCB4016","XM_006459162.1")</f>
        <v>XM_006459162.1</v>
      </c>
    </row>
    <row r="587" spans="1:7" x14ac:dyDescent="0.35">
      <c r="A587" t="s">
        <v>32</v>
      </c>
      <c r="B587">
        <v>319</v>
      </c>
      <c r="C587">
        <v>319</v>
      </c>
      <c r="D587" s="2">
        <v>0.73</v>
      </c>
      <c r="E587" s="3">
        <v>3.0000000000000001E-95</v>
      </c>
      <c r="F587">
        <v>40.82</v>
      </c>
      <c r="G587" t="str">
        <f>HYPERLINK("https://www.ncbi.nlm.nih.gov/nucleotide/XM_018429091.1?report=genbank&amp;log$=nucltop&amp;blast_rank=11&amp;RID=2007VCB4016","XM_018429091.1")</f>
        <v>XM_018429091.1</v>
      </c>
    </row>
    <row r="588" spans="1:7" x14ac:dyDescent="0.35">
      <c r="A588" t="s">
        <v>27</v>
      </c>
      <c r="B588">
        <v>162</v>
      </c>
      <c r="C588">
        <v>322</v>
      </c>
      <c r="D588" s="2">
        <v>0.77</v>
      </c>
      <c r="E588" s="3">
        <v>3.9999999999999997E-71</v>
      </c>
      <c r="F588">
        <v>40.520000000000003</v>
      </c>
      <c r="G588" t="str">
        <f>HYPERLINK("https://www.ncbi.nlm.nih.gov/nucleotide/CP031830.1?report=genbank&amp;log$=nucltop&amp;blast_rank=12&amp;RID=2007VCB4016","CP031830.1")</f>
        <v>CP031830.1</v>
      </c>
    </row>
    <row r="589" spans="1:7" x14ac:dyDescent="0.35">
      <c r="A589" t="s">
        <v>28</v>
      </c>
      <c r="B589">
        <v>162</v>
      </c>
      <c r="C589">
        <v>322</v>
      </c>
      <c r="D589" s="2">
        <v>0.77</v>
      </c>
      <c r="E589" s="3">
        <v>3.9999999999999997E-71</v>
      </c>
      <c r="F589">
        <v>40.520000000000003</v>
      </c>
      <c r="G589" t="str">
        <f>HYPERLINK("https://www.ncbi.nlm.nih.gov/nucleotide/LK023335.1?report=genbank&amp;log$=nucltop&amp;blast_rank=13&amp;RID=2007VCB4016","LK023335.1")</f>
        <v>LK023335.1</v>
      </c>
    </row>
    <row r="590" spans="1:7" x14ac:dyDescent="0.35">
      <c r="A590" t="s">
        <v>18</v>
      </c>
      <c r="B590">
        <v>207</v>
      </c>
      <c r="C590">
        <v>606</v>
      </c>
      <c r="D590" s="2">
        <v>0.73</v>
      </c>
      <c r="E590" s="3">
        <v>3.0000000000000002E-53</v>
      </c>
      <c r="F590">
        <v>39.93</v>
      </c>
      <c r="G590" t="str">
        <f>HYPERLINK("https://www.ncbi.nlm.nih.gov/nucleotide/CP015474.1?report=genbank&amp;log$=nucltop&amp;blast_rank=14&amp;RID=2007VCB4016","CP015474.1")</f>
        <v>CP015474.1</v>
      </c>
    </row>
    <row r="591" spans="1:7" x14ac:dyDescent="0.35">
      <c r="A591" t="s">
        <v>17</v>
      </c>
      <c r="B591">
        <v>207</v>
      </c>
      <c r="C591">
        <v>606</v>
      </c>
      <c r="D591" s="2">
        <v>0.73</v>
      </c>
      <c r="E591" s="3">
        <v>3.0000000000000002E-53</v>
      </c>
      <c r="F591">
        <v>39.93</v>
      </c>
      <c r="G591" t="str">
        <f>HYPERLINK("https://www.ncbi.nlm.nih.gov/nucleotide/CP015461.1?report=genbank&amp;log$=nucltop&amp;blast_rank=15&amp;RID=2007VCB4016","CP015461.1")</f>
        <v>CP015461.1</v>
      </c>
    </row>
    <row r="592" spans="1:7" x14ac:dyDescent="0.35">
      <c r="A592" t="s">
        <v>16</v>
      </c>
      <c r="B592">
        <v>207</v>
      </c>
      <c r="C592">
        <v>606</v>
      </c>
      <c r="D592" s="2">
        <v>0.73</v>
      </c>
      <c r="E592" s="3">
        <v>3.0000000000000002E-53</v>
      </c>
      <c r="F592">
        <v>39.93</v>
      </c>
      <c r="G592" t="str">
        <f>HYPERLINK("https://www.ncbi.nlm.nih.gov/nucleotide/CP039877.1?report=genbank&amp;log$=nucltop&amp;blast_rank=16&amp;RID=2007VCB4016","CP039877.1")</f>
        <v>CP039877.1</v>
      </c>
    </row>
    <row r="593" spans="1:7" x14ac:dyDescent="0.35">
      <c r="A593" t="s">
        <v>473</v>
      </c>
      <c r="B593">
        <v>203</v>
      </c>
      <c r="C593">
        <v>608</v>
      </c>
      <c r="D593" s="2">
        <v>0.75</v>
      </c>
      <c r="E593" s="3">
        <v>9.0000000000000001E-52</v>
      </c>
      <c r="F593">
        <v>39.35</v>
      </c>
      <c r="G593" t="str">
        <f>HYPERLINK("https://www.ncbi.nlm.nih.gov/nucleotide/CP068007.1?report=genbank&amp;log$=nucltop&amp;blast_rank=17&amp;RID=2007VCB4016","CP068007.1")</f>
        <v>CP068007.1</v>
      </c>
    </row>
    <row r="594" spans="1:7" x14ac:dyDescent="0.35">
      <c r="A594" t="s">
        <v>14</v>
      </c>
      <c r="B594">
        <v>290</v>
      </c>
      <c r="C594">
        <v>290</v>
      </c>
      <c r="D594" s="2">
        <v>0.73</v>
      </c>
      <c r="E594" s="3">
        <v>7.0000000000000004E-86</v>
      </c>
      <c r="F594">
        <v>39.299999999999997</v>
      </c>
      <c r="G594" t="str">
        <f>HYPERLINK("https://www.ncbi.nlm.nih.gov/nucleotide/XM_007330301.1?report=genbank&amp;log$=nucltop&amp;blast_rank=18&amp;RID=2007VCB4016","XM_007330301.1")</f>
        <v>XM_007330301.1</v>
      </c>
    </row>
    <row r="595" spans="1:7" x14ac:dyDescent="0.35">
      <c r="A595" t="s">
        <v>15</v>
      </c>
      <c r="B595">
        <v>288</v>
      </c>
      <c r="C595">
        <v>288</v>
      </c>
      <c r="D595" s="2">
        <v>0.73</v>
      </c>
      <c r="E595" s="3">
        <v>5.0000000000000002E-85</v>
      </c>
      <c r="F595">
        <v>39.299999999999997</v>
      </c>
      <c r="G595" t="str">
        <f>HYPERLINK("https://www.ncbi.nlm.nih.gov/nucleotide/XM_006459161.1?report=genbank&amp;log$=nucltop&amp;blast_rank=19&amp;RID=2007VCB4016","XM_006459161.1")</f>
        <v>XM_006459161.1</v>
      </c>
    </row>
    <row r="596" spans="1:7" x14ac:dyDescent="0.35">
      <c r="A596" t="s">
        <v>35</v>
      </c>
      <c r="B596">
        <v>311</v>
      </c>
      <c r="C596">
        <v>311</v>
      </c>
      <c r="D596" s="2">
        <v>0.76</v>
      </c>
      <c r="E596" s="3">
        <v>1.9999999999999999E-94</v>
      </c>
      <c r="F596">
        <v>39.159999999999997</v>
      </c>
      <c r="G596" t="str">
        <f>HYPERLINK("https://www.ncbi.nlm.nih.gov/nucleotide/XM_023610462.1?report=genbank&amp;log$=nucltop&amp;blast_rank=20&amp;RID=2007VCB4016","XM_023610462.1")</f>
        <v>XM_023610462.1</v>
      </c>
    </row>
    <row r="597" spans="1:7" x14ac:dyDescent="0.35">
      <c r="A597" t="s">
        <v>19</v>
      </c>
      <c r="B597">
        <v>288</v>
      </c>
      <c r="C597">
        <v>288</v>
      </c>
      <c r="D597" s="2">
        <v>0.72</v>
      </c>
      <c r="E597" s="3">
        <v>2E-85</v>
      </c>
      <c r="F597">
        <v>38.58</v>
      </c>
      <c r="G597" t="str">
        <f>HYPERLINK("https://www.ncbi.nlm.nih.gov/nucleotide/XM_001880889.1?report=genbank&amp;log$=nucltop&amp;blast_rank=21&amp;RID=2007VCB4016","XM_001880889.1")</f>
        <v>XM_001880889.1</v>
      </c>
    </row>
    <row r="598" spans="1:7" x14ac:dyDescent="0.35">
      <c r="A598" t="s">
        <v>21</v>
      </c>
      <c r="B598">
        <v>273</v>
      </c>
      <c r="C598">
        <v>273</v>
      </c>
      <c r="D598" s="2">
        <v>0.73</v>
      </c>
      <c r="E598" s="3">
        <v>5E-79</v>
      </c>
      <c r="F598">
        <v>37.729999999999997</v>
      </c>
      <c r="G598" t="str">
        <f>HYPERLINK("https://www.ncbi.nlm.nih.gov/nucleotide/XM_009546986.1?report=genbank&amp;log$=nucltop&amp;blast_rank=22&amp;RID=2007VCB4016","XM_009546986.1")</f>
        <v>XM_009546986.1</v>
      </c>
    </row>
    <row r="599" spans="1:7" x14ac:dyDescent="0.35">
      <c r="A599" s="4" t="s">
        <v>11</v>
      </c>
      <c r="B599" s="4">
        <v>299</v>
      </c>
      <c r="C599" s="4">
        <v>299</v>
      </c>
      <c r="D599" s="5">
        <v>0.81</v>
      </c>
      <c r="E599" s="6">
        <v>2.9999999999999999E-89</v>
      </c>
      <c r="F599" s="4">
        <v>37.5</v>
      </c>
      <c r="G599" s="4" t="str">
        <f>HYPERLINK("https://www.ncbi.nlm.nih.gov/nucleotide/AB551982.1?report=genbank&amp;log$=nucltop&amp;blast_rank=23&amp;RID=2007VCB4016","AB551982.1")</f>
        <v>AB551982.1</v>
      </c>
    </row>
    <row r="600" spans="1:7" x14ac:dyDescent="0.35">
      <c r="A600" t="s">
        <v>12</v>
      </c>
      <c r="B600">
        <v>269</v>
      </c>
      <c r="C600">
        <v>269</v>
      </c>
      <c r="D600" s="2">
        <v>0.74</v>
      </c>
      <c r="E600" s="3">
        <v>1E-78</v>
      </c>
      <c r="F600">
        <v>37.15</v>
      </c>
      <c r="G600" t="str">
        <f>HYPERLINK("https://www.ncbi.nlm.nih.gov/nucleotide/XM_036779060.1?report=genbank&amp;log$=nucltop&amp;blast_rank=24&amp;RID=2007VCB4016","XM_036779060.1")</f>
        <v>XM_036779060.1</v>
      </c>
    </row>
    <row r="601" spans="1:7" x14ac:dyDescent="0.35">
      <c r="A601" t="s">
        <v>39</v>
      </c>
      <c r="B601">
        <v>282</v>
      </c>
      <c r="C601">
        <v>282</v>
      </c>
      <c r="D601" s="2">
        <v>0.73</v>
      </c>
      <c r="E601" s="3">
        <v>4.9999999999999998E-83</v>
      </c>
      <c r="F601">
        <v>37.03</v>
      </c>
      <c r="G601" t="str">
        <f>HYPERLINK("https://www.ncbi.nlm.nih.gov/nucleotide/XM_025316703.1?report=genbank&amp;log$=nucltop&amp;blast_rank=25&amp;RID=2007VCB4016","XM_025316703.1")</f>
        <v>XM_025316703.1</v>
      </c>
    </row>
    <row r="602" spans="1:7" x14ac:dyDescent="0.35">
      <c r="A602" t="s">
        <v>13</v>
      </c>
      <c r="B602">
        <v>272</v>
      </c>
      <c r="C602">
        <v>272</v>
      </c>
      <c r="D602" s="2">
        <v>0.73</v>
      </c>
      <c r="E602" s="3">
        <v>3E-79</v>
      </c>
      <c r="F602">
        <v>36.47</v>
      </c>
      <c r="G602" t="str">
        <f>HYPERLINK("https://www.ncbi.nlm.nih.gov/nucleotide/XM_037359092.1?report=genbank&amp;log$=nucltop&amp;blast_rank=26&amp;RID=2007VCB4016","XM_037359092.1")</f>
        <v>XM_037359092.1</v>
      </c>
    </row>
    <row r="603" spans="1:7" x14ac:dyDescent="0.35">
      <c r="A603" t="s">
        <v>22</v>
      </c>
      <c r="B603">
        <v>229</v>
      </c>
      <c r="C603">
        <v>229</v>
      </c>
      <c r="D603" s="2">
        <v>0.7</v>
      </c>
      <c r="E603" s="3">
        <v>3.0000000000000001E-64</v>
      </c>
      <c r="F603">
        <v>35.869999999999997</v>
      </c>
      <c r="G603" t="str">
        <f>HYPERLINK("https://www.ncbi.nlm.nih.gov/nucleotide/XM_001836369.2?report=genbank&amp;log$=nucltop&amp;blast_rank=27&amp;RID=2007VCB4016","XM_001836369.2")</f>
        <v>XM_001836369.2</v>
      </c>
    </row>
    <row r="604" spans="1:7" x14ac:dyDescent="0.35">
      <c r="A604" t="s">
        <v>30</v>
      </c>
      <c r="B604">
        <v>146</v>
      </c>
      <c r="C604">
        <v>313</v>
      </c>
      <c r="D604" s="2">
        <v>0.71</v>
      </c>
      <c r="E604" s="3">
        <v>9.0000000000000005E-36</v>
      </c>
      <c r="F604">
        <v>35.86</v>
      </c>
      <c r="G604" t="str">
        <f>HYPERLINK("https://www.ncbi.nlm.nih.gov/nucleotide/CP031825.1?report=genbank&amp;log$=nucltop&amp;blast_rank=28&amp;RID=2007VCB4016","CP031825.1")</f>
        <v>CP031825.1</v>
      </c>
    </row>
    <row r="605" spans="1:7" x14ac:dyDescent="0.35">
      <c r="A605" t="s">
        <v>31</v>
      </c>
      <c r="B605">
        <v>146</v>
      </c>
      <c r="C605">
        <v>313</v>
      </c>
      <c r="D605" s="2">
        <v>0.71</v>
      </c>
      <c r="E605" s="3">
        <v>9.0000000000000005E-36</v>
      </c>
      <c r="F605">
        <v>35.86</v>
      </c>
      <c r="G605" t="str">
        <f>HYPERLINK("https://www.ncbi.nlm.nih.gov/nucleotide/LK023313.1?report=genbank&amp;log$=nucltop&amp;blast_rank=29&amp;RID=2007VCB4016","LK023313.1")</f>
        <v>LK023313.1</v>
      </c>
    </row>
    <row r="606" spans="1:7" x14ac:dyDescent="0.35">
      <c r="A606" s="4" t="s">
        <v>20</v>
      </c>
      <c r="B606" s="4">
        <v>154</v>
      </c>
      <c r="C606" s="4">
        <v>304</v>
      </c>
      <c r="D606" s="5">
        <v>0.74</v>
      </c>
      <c r="E606" s="6">
        <v>8.9999999999999995E-66</v>
      </c>
      <c r="F606" s="4">
        <v>34.6</v>
      </c>
      <c r="G606" s="4" t="str">
        <f>HYPERLINK("https://www.ncbi.nlm.nih.gov/nucleotide/KJ999702.1?report=genbank&amp;log$=nucltop&amp;blast_rank=30&amp;RID=2007VCB4016","KJ999702.1")</f>
        <v>KJ999702.1</v>
      </c>
    </row>
    <row r="607" spans="1:7" x14ac:dyDescent="0.35">
      <c r="A607" s="4" t="s">
        <v>41</v>
      </c>
      <c r="B607" s="4">
        <v>200</v>
      </c>
      <c r="C607" s="4">
        <v>200</v>
      </c>
      <c r="D607" s="5">
        <v>0.72</v>
      </c>
      <c r="E607" s="6">
        <v>6.9999999999999999E-53</v>
      </c>
      <c r="F607" s="4">
        <v>34.119999999999997</v>
      </c>
      <c r="G607" s="4" t="str">
        <f>HYPERLINK("https://www.ncbi.nlm.nih.gov/nucleotide/XM_032045412.1?report=genbank&amp;log$=nucltop&amp;blast_rank=31&amp;RID=2007VCB4016","XM_032045412.1")</f>
        <v>XM_032045412.1</v>
      </c>
    </row>
    <row r="608" spans="1:7" x14ac:dyDescent="0.35">
      <c r="A608" t="s">
        <v>23</v>
      </c>
      <c r="B608">
        <v>229</v>
      </c>
      <c r="C608">
        <v>229</v>
      </c>
      <c r="D608" s="2">
        <v>0.73</v>
      </c>
      <c r="E608" s="3">
        <v>3.0000000000000001E-62</v>
      </c>
      <c r="F608">
        <v>33.700000000000003</v>
      </c>
      <c r="G608" t="str">
        <f>HYPERLINK("https://www.ncbi.nlm.nih.gov/nucleotide/XM_007300021.1?report=genbank&amp;log$=nucltop&amp;blast_rank=32&amp;RID=2007VCB4016","XM_007300021.1")</f>
        <v>XM_007300021.1</v>
      </c>
    </row>
    <row r="609" spans="1:7" x14ac:dyDescent="0.35">
      <c r="A609" t="s">
        <v>61</v>
      </c>
      <c r="B609">
        <v>180</v>
      </c>
      <c r="C609">
        <v>180</v>
      </c>
      <c r="D609" s="2">
        <v>0.7</v>
      </c>
      <c r="E609" s="3">
        <v>9.9999999999999998E-46</v>
      </c>
      <c r="F609">
        <v>33.57</v>
      </c>
      <c r="G609" t="str">
        <f>HYPERLINK("https://www.ncbi.nlm.nih.gov/nucleotide/XM_024831712.1?report=genbank&amp;log$=nucltop&amp;blast_rank=33&amp;RID=2007VCB4016","XM_024831712.1")</f>
        <v>XM_024831712.1</v>
      </c>
    </row>
    <row r="610" spans="1:7" x14ac:dyDescent="0.35">
      <c r="A610" t="s">
        <v>51</v>
      </c>
      <c r="B610">
        <v>195</v>
      </c>
      <c r="C610">
        <v>195</v>
      </c>
      <c r="D610" s="2">
        <v>0.74</v>
      </c>
      <c r="E610" s="3">
        <v>6E-51</v>
      </c>
      <c r="F610">
        <v>32.729999999999997</v>
      </c>
      <c r="G610" t="str">
        <f>HYPERLINK("https://www.ncbi.nlm.nih.gov/nucleotide/XM_025528552.1?report=genbank&amp;log$=nucltop&amp;blast_rank=34&amp;RID=2007VCB4016","XM_025528552.1")</f>
        <v>XM_025528552.1</v>
      </c>
    </row>
    <row r="611" spans="1:7" x14ac:dyDescent="0.35">
      <c r="A611" t="s">
        <v>69</v>
      </c>
      <c r="B611">
        <v>199</v>
      </c>
      <c r="C611">
        <v>199</v>
      </c>
      <c r="D611" s="2">
        <v>0.72</v>
      </c>
      <c r="E611" s="3">
        <v>3E-52</v>
      </c>
      <c r="F611">
        <v>32.549999999999997</v>
      </c>
      <c r="G611" t="str">
        <f>HYPERLINK("https://www.ncbi.nlm.nih.gov/nucleotide/XM_001390712.2?report=genbank&amp;log$=nucltop&amp;blast_rank=35&amp;RID=2007VCB4016","XM_001390712.2")</f>
        <v>XM_001390712.2</v>
      </c>
    </row>
    <row r="612" spans="1:7" x14ac:dyDescent="0.35">
      <c r="A612" s="4" t="s">
        <v>65</v>
      </c>
      <c r="B612" s="4">
        <v>196</v>
      </c>
      <c r="C612" s="4">
        <v>196</v>
      </c>
      <c r="D612" s="5">
        <v>0.74</v>
      </c>
      <c r="E612" s="6">
        <v>3E-51</v>
      </c>
      <c r="F612" s="4">
        <v>31.91</v>
      </c>
      <c r="G612" s="4" t="str">
        <f>HYPERLINK("https://www.ncbi.nlm.nih.gov/nucleotide/XM_026774556.1?report=genbank&amp;log$=nucltop&amp;blast_rank=36&amp;RID=2007VCB4016","XM_026774556.1")</f>
        <v>XM_026774556.1</v>
      </c>
    </row>
    <row r="613" spans="1:7" x14ac:dyDescent="0.35">
      <c r="A613" t="s">
        <v>53</v>
      </c>
      <c r="B613">
        <v>196</v>
      </c>
      <c r="C613">
        <v>196</v>
      </c>
      <c r="D613" s="2">
        <v>0.74</v>
      </c>
      <c r="E613" s="3">
        <v>4E-51</v>
      </c>
      <c r="F613">
        <v>31.82</v>
      </c>
      <c r="G613" t="str">
        <f>HYPERLINK("https://www.ncbi.nlm.nih.gov/nucleotide/XM_025704096.1?report=genbank&amp;log$=nucltop&amp;blast_rank=37&amp;RID=2007VCB4016","XM_025704096.1")</f>
        <v>XM_025704096.1</v>
      </c>
    </row>
    <row r="614" spans="1:7" x14ac:dyDescent="0.35">
      <c r="A614" t="s">
        <v>48</v>
      </c>
      <c r="B614">
        <v>179</v>
      </c>
      <c r="C614">
        <v>179</v>
      </c>
      <c r="D614" s="2">
        <v>0.7</v>
      </c>
      <c r="E614" s="3">
        <v>3.9999999999999998E-44</v>
      </c>
      <c r="F614">
        <v>31.74</v>
      </c>
      <c r="G614" t="str">
        <f>HYPERLINK("https://www.ncbi.nlm.nih.gov/nucleotide/XM_009499650.1?report=genbank&amp;log$=nucltop&amp;blast_rank=38&amp;RID=2007VCB4016","XM_009499650.1")</f>
        <v>XM_009499650.1</v>
      </c>
    </row>
    <row r="615" spans="1:7" x14ac:dyDescent="0.35">
      <c r="A615" s="4" t="s">
        <v>44</v>
      </c>
      <c r="B615" s="4">
        <v>174</v>
      </c>
      <c r="C615" s="4">
        <v>174</v>
      </c>
      <c r="D615" s="5">
        <v>0.66</v>
      </c>
      <c r="E615" s="6">
        <v>9.9999999999999995E-45</v>
      </c>
      <c r="F615" s="4">
        <v>31.46</v>
      </c>
      <c r="G615" s="4" t="str">
        <f>HYPERLINK("https://www.ncbi.nlm.nih.gov/nucleotide/XM_033572072.1?report=genbank&amp;log$=nucltop&amp;blast_rank=39&amp;RID=2007VCB4016","XM_033572072.1")</f>
        <v>XM_033572072.1</v>
      </c>
    </row>
    <row r="616" spans="1:7" x14ac:dyDescent="0.35">
      <c r="A616" t="s">
        <v>52</v>
      </c>
      <c r="B616">
        <v>140</v>
      </c>
      <c r="C616">
        <v>140</v>
      </c>
      <c r="D616" s="2">
        <v>0.56000000000000005</v>
      </c>
      <c r="E616" s="3">
        <v>3.0000000000000002E-33</v>
      </c>
      <c r="F616">
        <v>31</v>
      </c>
      <c r="G616" t="str">
        <f>HYPERLINK("https://www.ncbi.nlm.nih.gov/nucleotide/XM_003857413.1?report=genbank&amp;log$=nucltop&amp;blast_rank=40&amp;RID=2007VCB4016","XM_003857413.1")</f>
        <v>XM_003857413.1</v>
      </c>
    </row>
    <row r="617" spans="1:7" x14ac:dyDescent="0.35">
      <c r="A617" t="s">
        <v>60</v>
      </c>
      <c r="B617">
        <v>179</v>
      </c>
      <c r="C617">
        <v>179</v>
      </c>
      <c r="D617" s="2">
        <v>0.72</v>
      </c>
      <c r="E617" s="3">
        <v>6.0000000000000002E-45</v>
      </c>
      <c r="F617">
        <v>30.86</v>
      </c>
      <c r="G617" t="str">
        <f>HYPERLINK("https://www.ncbi.nlm.nih.gov/nucleotide/XM_035498527.1?report=genbank&amp;log$=nucltop&amp;blast_rank=41&amp;RID=2007VCB4016","XM_035498527.1")</f>
        <v>XM_035498527.1</v>
      </c>
    </row>
    <row r="618" spans="1:7" x14ac:dyDescent="0.35">
      <c r="A618" t="s">
        <v>43</v>
      </c>
      <c r="B618">
        <v>187</v>
      </c>
      <c r="C618">
        <v>187</v>
      </c>
      <c r="D618" s="2">
        <v>0.71</v>
      </c>
      <c r="E618" s="3">
        <v>2.9999999999999999E-48</v>
      </c>
      <c r="F618">
        <v>30.62</v>
      </c>
      <c r="G618" t="str">
        <f>HYPERLINK("https://www.ncbi.nlm.nih.gov/nucleotide/XM_022549209.1?report=genbank&amp;log$=nucltop&amp;blast_rank=42&amp;RID=2007VCB4016","XM_022549209.1")</f>
        <v>XM_022549209.1</v>
      </c>
    </row>
    <row r="619" spans="1:7" x14ac:dyDescent="0.35">
      <c r="A619" t="s">
        <v>54</v>
      </c>
      <c r="B619">
        <v>155</v>
      </c>
      <c r="C619">
        <v>155</v>
      </c>
      <c r="D619" s="2">
        <v>0.64</v>
      </c>
      <c r="E619" s="3">
        <v>1E-35</v>
      </c>
      <c r="F619">
        <v>30.61</v>
      </c>
      <c r="G619" t="str">
        <f>HYPERLINK("https://www.ncbi.nlm.nih.gov/nucleotide/LT853692.1?report=genbank&amp;log$=nucltop&amp;blast_rank=43&amp;RID=2007VCB4016","LT853692.1")</f>
        <v>LT853692.1</v>
      </c>
    </row>
    <row r="620" spans="1:7" x14ac:dyDescent="0.35">
      <c r="A620" t="s">
        <v>85</v>
      </c>
      <c r="B620">
        <v>193</v>
      </c>
      <c r="C620">
        <v>193</v>
      </c>
      <c r="D620" s="2">
        <v>0.72</v>
      </c>
      <c r="E620" s="3">
        <v>2E-50</v>
      </c>
      <c r="F620">
        <v>30.5</v>
      </c>
      <c r="G620" t="str">
        <f>HYPERLINK("https://www.ncbi.nlm.nih.gov/nucleotide/XM_002559523.1?report=genbank&amp;log$=nucltop&amp;blast_rank=44&amp;RID=2007VCB4016","XM_002559523.1")</f>
        <v>XM_002559523.1</v>
      </c>
    </row>
    <row r="621" spans="1:7" x14ac:dyDescent="0.35">
      <c r="A621" t="s">
        <v>101</v>
      </c>
      <c r="B621">
        <v>156</v>
      </c>
      <c r="C621">
        <v>156</v>
      </c>
      <c r="D621" s="2">
        <v>0.7</v>
      </c>
      <c r="E621" s="3">
        <v>5.9999999999999998E-38</v>
      </c>
      <c r="F621">
        <v>30.36</v>
      </c>
      <c r="G621" t="str">
        <f>HYPERLINK("https://www.ncbi.nlm.nih.gov/nucleotide/XM_023596533.1?report=genbank&amp;log$=nucltop&amp;blast_rank=45&amp;RID=2007VCB4016","XM_023596533.1")</f>
        <v>XM_023596533.1</v>
      </c>
    </row>
    <row r="622" spans="1:7" x14ac:dyDescent="0.35">
      <c r="A622" t="s">
        <v>57</v>
      </c>
      <c r="B622">
        <v>153</v>
      </c>
      <c r="C622">
        <v>153</v>
      </c>
      <c r="D622" s="2">
        <v>0.64</v>
      </c>
      <c r="E622" s="3">
        <v>4.9999999999999996E-35</v>
      </c>
      <c r="F622">
        <v>30.34</v>
      </c>
      <c r="G622" t="str">
        <f>HYPERLINK("https://www.ncbi.nlm.nih.gov/nucleotide/LT854253.1?report=genbank&amp;log$=nucltop&amp;blast_rank=46&amp;RID=2007VCB4016","LT854253.1")</f>
        <v>LT854253.1</v>
      </c>
    </row>
    <row r="623" spans="1:7" x14ac:dyDescent="0.35">
      <c r="A623" t="s">
        <v>59</v>
      </c>
      <c r="B623">
        <v>153</v>
      </c>
      <c r="C623">
        <v>153</v>
      </c>
      <c r="D623" s="2">
        <v>0.64</v>
      </c>
      <c r="E623" s="3">
        <v>5.9999999999999998E-35</v>
      </c>
      <c r="F623">
        <v>30.34</v>
      </c>
      <c r="G623" t="str">
        <f>HYPERLINK("https://www.ncbi.nlm.nih.gov/nucleotide/LT882676.1?report=genbank&amp;log$=nucltop&amp;blast_rank=47&amp;RID=2007VCB4016","LT882676.1")</f>
        <v>LT882676.1</v>
      </c>
    </row>
    <row r="624" spans="1:7" x14ac:dyDescent="0.35">
      <c r="A624" t="s">
        <v>58</v>
      </c>
      <c r="B624">
        <v>153</v>
      </c>
      <c r="C624">
        <v>153</v>
      </c>
      <c r="D624" s="2">
        <v>0.64</v>
      </c>
      <c r="E624" s="3">
        <v>5.9999999999999998E-35</v>
      </c>
      <c r="F624">
        <v>30.34</v>
      </c>
      <c r="G624" t="str">
        <f>HYPERLINK("https://www.ncbi.nlm.nih.gov/nucleotide/LT854273.1?report=genbank&amp;log$=nucltop&amp;blast_rank=48&amp;RID=2007VCB4016","LT854273.1")</f>
        <v>LT854273.1</v>
      </c>
    </row>
    <row r="625" spans="1:7" x14ac:dyDescent="0.35">
      <c r="A625" t="s">
        <v>76</v>
      </c>
      <c r="B625">
        <v>172</v>
      </c>
      <c r="C625">
        <v>172</v>
      </c>
      <c r="D625" s="2">
        <v>0.69</v>
      </c>
      <c r="E625" s="3">
        <v>8.0000000000000006E-43</v>
      </c>
      <c r="F625">
        <v>30.19</v>
      </c>
      <c r="G625" t="str">
        <f>HYPERLINK("https://www.ncbi.nlm.nih.gov/nucleotide/XM_026762387.1?report=genbank&amp;log$=nucltop&amp;blast_rank=49&amp;RID=2007VCB4016","XM_026762387.1")</f>
        <v>XM_026762387.1</v>
      </c>
    </row>
    <row r="626" spans="1:7" x14ac:dyDescent="0.35">
      <c r="A626" t="s">
        <v>794</v>
      </c>
      <c r="B626">
        <v>187</v>
      </c>
      <c r="C626">
        <v>187</v>
      </c>
      <c r="D626" s="2">
        <v>0.72</v>
      </c>
      <c r="E626" s="3">
        <v>2E-46</v>
      </c>
      <c r="F626">
        <v>30.17</v>
      </c>
      <c r="G626" t="str">
        <f>HYPERLINK("https://www.ncbi.nlm.nih.gov/nucleotide/AP024419.1?report=genbank&amp;log$=nucltop&amp;blast_rank=50&amp;RID=2007VCB4016","AP024419.1")</f>
        <v>AP024419.1</v>
      </c>
    </row>
    <row r="627" spans="1:7" x14ac:dyDescent="0.35">
      <c r="A627" s="4" t="s">
        <v>66</v>
      </c>
      <c r="B627" s="4">
        <v>169</v>
      </c>
      <c r="C627" s="4">
        <v>169</v>
      </c>
      <c r="D627" s="5">
        <v>0.72</v>
      </c>
      <c r="E627" s="6">
        <v>3.0000000000000003E-42</v>
      </c>
      <c r="F627" s="4">
        <v>30.14</v>
      </c>
      <c r="G627" s="4" t="str">
        <f>HYPERLINK("https://www.ncbi.nlm.nih.gov/nucleotide/XM_035498118.1?report=genbank&amp;log$=nucltop&amp;blast_rank=51&amp;RID=2007VCB4016","XM_035498118.1")</f>
        <v>XM_035498118.1</v>
      </c>
    </row>
    <row r="628" spans="1:7" x14ac:dyDescent="0.35">
      <c r="A628" t="s">
        <v>80</v>
      </c>
      <c r="B628">
        <v>184</v>
      </c>
      <c r="C628">
        <v>184</v>
      </c>
      <c r="D628" s="2">
        <v>0.74</v>
      </c>
      <c r="E628" s="3">
        <v>1E-46</v>
      </c>
      <c r="F628">
        <v>30.11</v>
      </c>
      <c r="G628" t="str">
        <f>HYPERLINK("https://www.ncbi.nlm.nih.gov/nucleotide/XM_025662501.1?report=genbank&amp;log$=nucltop&amp;blast_rank=52&amp;RID=2007VCB4016","XM_025662501.1")</f>
        <v>XM_025662501.1</v>
      </c>
    </row>
    <row r="629" spans="1:7" x14ac:dyDescent="0.35">
      <c r="A629" t="s">
        <v>56</v>
      </c>
      <c r="B629">
        <v>196</v>
      </c>
      <c r="C629">
        <v>196</v>
      </c>
      <c r="D629" s="2">
        <v>0.8</v>
      </c>
      <c r="E629" s="3">
        <v>3E-52</v>
      </c>
      <c r="F629">
        <v>29.68</v>
      </c>
      <c r="G629" t="str">
        <f>HYPERLINK("https://www.ncbi.nlm.nih.gov/nucleotide/XM_024844676.1?report=genbank&amp;log$=nucltop&amp;blast_rank=53&amp;RID=2007VCB4016","XM_024844676.1")</f>
        <v>XM_024844676.1</v>
      </c>
    </row>
    <row r="630" spans="1:7" x14ac:dyDescent="0.35">
      <c r="A630" t="s">
        <v>45</v>
      </c>
      <c r="B630">
        <v>192</v>
      </c>
      <c r="C630">
        <v>192</v>
      </c>
      <c r="D630" s="2">
        <v>0.75</v>
      </c>
      <c r="E630" s="3">
        <v>2.9999999999999999E-50</v>
      </c>
      <c r="F630">
        <v>29.61</v>
      </c>
      <c r="G630" t="str">
        <f>HYPERLINK("https://www.ncbi.nlm.nih.gov/nucleotide/XM_007926421.1?report=genbank&amp;log$=nucltop&amp;blast_rank=54&amp;RID=2007VCB4016","XM_007926421.1")</f>
        <v>XM_007926421.1</v>
      </c>
    </row>
    <row r="631" spans="1:7" x14ac:dyDescent="0.35">
      <c r="A631" s="4" t="s">
        <v>50</v>
      </c>
      <c r="B631" s="4">
        <v>182</v>
      </c>
      <c r="C631" s="4">
        <v>182</v>
      </c>
      <c r="D631" s="5">
        <v>0.72</v>
      </c>
      <c r="E631" s="6">
        <v>2E-46</v>
      </c>
      <c r="F631" s="4">
        <v>29.58</v>
      </c>
      <c r="G631" s="4" t="str">
        <f>HYPERLINK("https://www.ncbi.nlm.nih.gov/nucleotide/XM_032058508.1?report=genbank&amp;log$=nucltop&amp;blast_rank=55&amp;RID=2007VCB4016","XM_032058508.1")</f>
        <v>XM_032058508.1</v>
      </c>
    </row>
    <row r="632" spans="1:7" x14ac:dyDescent="0.35">
      <c r="A632" t="s">
        <v>36</v>
      </c>
      <c r="B632">
        <v>95.5</v>
      </c>
      <c r="C632">
        <v>187</v>
      </c>
      <c r="D632" s="2">
        <v>0.7</v>
      </c>
      <c r="E632" s="3">
        <v>4.0000000000000003E-37</v>
      </c>
      <c r="F632">
        <v>29.56</v>
      </c>
      <c r="G632" t="str">
        <f>HYPERLINK("https://www.ncbi.nlm.nih.gov/nucleotide/AM270105.1?report=genbank&amp;log$=nucltop&amp;blast_rank=56&amp;RID=2007VCB4016","AM270105.1")</f>
        <v>AM270105.1</v>
      </c>
    </row>
    <row r="633" spans="1:7" x14ac:dyDescent="0.35">
      <c r="A633" t="s">
        <v>49</v>
      </c>
      <c r="B633">
        <v>155</v>
      </c>
      <c r="C633">
        <v>155</v>
      </c>
      <c r="D633" s="2">
        <v>0.75</v>
      </c>
      <c r="E633" s="3">
        <v>7.0000000000000003E-37</v>
      </c>
      <c r="F633">
        <v>29.55</v>
      </c>
      <c r="G633" t="str">
        <f>HYPERLINK("https://www.ncbi.nlm.nih.gov/nucleotide/XM_001217916.1?report=genbank&amp;log$=nucltop&amp;blast_rank=57&amp;RID=2007VCB4016","XM_001217916.1")</f>
        <v>XM_001217916.1</v>
      </c>
    </row>
    <row r="634" spans="1:7" x14ac:dyDescent="0.35">
      <c r="A634" t="s">
        <v>40</v>
      </c>
      <c r="B634">
        <v>181</v>
      </c>
      <c r="C634">
        <v>181</v>
      </c>
      <c r="D634" s="2">
        <v>0.74</v>
      </c>
      <c r="E634" s="3">
        <v>4.0000000000000001E-46</v>
      </c>
      <c r="F634">
        <v>29.49</v>
      </c>
      <c r="G634" t="str">
        <f>HYPERLINK("https://www.ncbi.nlm.nih.gov/nucleotide/XM_022531473.1?report=genbank&amp;log$=nucltop&amp;blast_rank=58&amp;RID=2007VCB4016","XM_022531473.1")</f>
        <v>XM_022531473.1</v>
      </c>
    </row>
    <row r="635" spans="1:7" x14ac:dyDescent="0.35">
      <c r="A635" t="s">
        <v>68</v>
      </c>
      <c r="B635">
        <v>156</v>
      </c>
      <c r="C635">
        <v>156</v>
      </c>
      <c r="D635" s="2">
        <v>0.63</v>
      </c>
      <c r="E635" s="3">
        <v>1.9999999999999999E-38</v>
      </c>
      <c r="F635">
        <v>29.4</v>
      </c>
      <c r="G635" t="str">
        <f>HYPERLINK("https://www.ncbi.nlm.nih.gov/nucleotide/XM_001262908.1?report=genbank&amp;log$=nucltop&amp;blast_rank=59&amp;RID=2007VCB4016","XM_001262908.1")</f>
        <v>XM_001262908.1</v>
      </c>
    </row>
    <row r="636" spans="1:7" x14ac:dyDescent="0.35">
      <c r="A636" t="s">
        <v>79</v>
      </c>
      <c r="B636">
        <v>177</v>
      </c>
      <c r="C636">
        <v>177</v>
      </c>
      <c r="D636" s="2">
        <v>0.68</v>
      </c>
      <c r="E636" s="3">
        <v>7E-45</v>
      </c>
      <c r="F636">
        <v>29.34</v>
      </c>
      <c r="G636" t="str">
        <f>HYPERLINK("https://www.ncbi.nlm.nih.gov/nucleotide/XM_033553550.1?report=genbank&amp;log$=nucltop&amp;blast_rank=60&amp;RID=2007VCB4016","XM_033553550.1")</f>
        <v>XM_033553550.1</v>
      </c>
    </row>
    <row r="637" spans="1:7" x14ac:dyDescent="0.35">
      <c r="A637" t="s">
        <v>795</v>
      </c>
      <c r="B637">
        <v>178</v>
      </c>
      <c r="C637">
        <v>178</v>
      </c>
      <c r="D637" s="2">
        <v>0.72</v>
      </c>
      <c r="E637" s="3">
        <v>3E-43</v>
      </c>
      <c r="F637">
        <v>29.22</v>
      </c>
      <c r="G637" t="str">
        <f>HYPERLINK("https://www.ncbi.nlm.nih.gov/nucleotide/AP024418.1?report=genbank&amp;log$=nucltop&amp;blast_rank=61&amp;RID=2007VCB4016","AP024418.1")</f>
        <v>AP024418.1</v>
      </c>
    </row>
    <row r="638" spans="1:7" x14ac:dyDescent="0.35">
      <c r="A638" t="s">
        <v>69</v>
      </c>
      <c r="B638">
        <v>159</v>
      </c>
      <c r="C638">
        <v>159</v>
      </c>
      <c r="D638" s="2">
        <v>0.72</v>
      </c>
      <c r="E638" s="3">
        <v>2.9999999999999999E-38</v>
      </c>
      <c r="F638">
        <v>29.04</v>
      </c>
      <c r="G638" t="str">
        <f>HYPERLINK("https://www.ncbi.nlm.nih.gov/nucleotide/XM_001401884.2?report=genbank&amp;log$=nucltop&amp;blast_rank=62&amp;RID=2007VCB4016","XM_001401884.2")</f>
        <v>XM_001401884.2</v>
      </c>
    </row>
    <row r="639" spans="1:7" x14ac:dyDescent="0.35">
      <c r="A639" t="s">
        <v>72</v>
      </c>
      <c r="B639">
        <v>158</v>
      </c>
      <c r="C639">
        <v>158</v>
      </c>
      <c r="D639" s="2">
        <v>0.72</v>
      </c>
      <c r="E639" s="3">
        <v>1.0000000000000001E-37</v>
      </c>
      <c r="F639">
        <v>29.04</v>
      </c>
      <c r="G639" t="str">
        <f>HYPERLINK("https://www.ncbi.nlm.nih.gov/nucleotide/XM_025601684.1?report=genbank&amp;log$=nucltop&amp;blast_rank=63&amp;RID=2007VCB4016","XM_025601684.1")</f>
        <v>XM_025601684.1</v>
      </c>
    </row>
    <row r="640" spans="1:7" x14ac:dyDescent="0.35">
      <c r="A640" t="s">
        <v>90</v>
      </c>
      <c r="B640">
        <v>171</v>
      </c>
      <c r="C640">
        <v>171</v>
      </c>
      <c r="D640" s="2">
        <v>0.72</v>
      </c>
      <c r="E640" s="3">
        <v>9.0000000000000002E-42</v>
      </c>
      <c r="F640">
        <v>28.91</v>
      </c>
      <c r="G640" t="str">
        <f>HYPERLINK("https://www.ncbi.nlm.nih.gov/nucleotide/XM_025683366.1?report=genbank&amp;log$=nucltop&amp;blast_rank=64&amp;RID=2007VCB4016","XM_025683366.1")</f>
        <v>XM_025683366.1</v>
      </c>
    </row>
    <row r="641" spans="1:7" x14ac:dyDescent="0.35">
      <c r="A641" t="s">
        <v>743</v>
      </c>
      <c r="B641">
        <v>137</v>
      </c>
      <c r="C641">
        <v>166</v>
      </c>
      <c r="D641" s="2">
        <v>0.7</v>
      </c>
      <c r="E641" s="3">
        <v>5.9999999999999996E-31</v>
      </c>
      <c r="F641">
        <v>28.81</v>
      </c>
      <c r="G641" t="str">
        <f>HYPERLINK("https://www.ncbi.nlm.nih.gov/nucleotide/CP066504.1?report=genbank&amp;log$=nucltop&amp;blast_rank=65&amp;RID=2007VCB4016","CP066504.1")</f>
        <v>CP066504.1</v>
      </c>
    </row>
    <row r="642" spans="1:7" x14ac:dyDescent="0.35">
      <c r="A642" s="4" t="s">
        <v>55</v>
      </c>
      <c r="B642" s="4">
        <v>176</v>
      </c>
      <c r="C642" s="4">
        <v>176</v>
      </c>
      <c r="D642" s="5">
        <v>0.72</v>
      </c>
      <c r="E642" s="6">
        <v>1.9999999999999999E-44</v>
      </c>
      <c r="F642" s="4">
        <v>28.74</v>
      </c>
      <c r="G642" s="4" t="str">
        <f>HYPERLINK("https://www.ncbi.nlm.nih.gov/nucleotide/XM_032074407.1?report=genbank&amp;log$=nucltop&amp;blast_rank=66&amp;RID=2007VCB4016","XM_032074407.1")</f>
        <v>XM_032074407.1</v>
      </c>
    </row>
    <row r="643" spans="1:7" x14ac:dyDescent="0.35">
      <c r="A643" t="s">
        <v>77</v>
      </c>
      <c r="B643">
        <v>142</v>
      </c>
      <c r="C643">
        <v>142</v>
      </c>
      <c r="D643" s="2">
        <v>0.68</v>
      </c>
      <c r="E643" s="3">
        <v>6.9999999999999997E-32</v>
      </c>
      <c r="F643">
        <v>28.68</v>
      </c>
      <c r="G643" t="str">
        <f>HYPERLINK("https://www.ncbi.nlm.nih.gov/nucleotide/XM_025680603.1?report=genbank&amp;log$=nucltop&amp;blast_rank=67&amp;RID=2007VCB4016","XM_025680603.1")</f>
        <v>XM_025680603.1</v>
      </c>
    </row>
    <row r="644" spans="1:7" x14ac:dyDescent="0.35">
      <c r="A644" t="s">
        <v>89</v>
      </c>
      <c r="B644">
        <v>152</v>
      </c>
      <c r="C644">
        <v>152</v>
      </c>
      <c r="D644" s="2">
        <v>0.69</v>
      </c>
      <c r="E644" s="3">
        <v>4E-35</v>
      </c>
      <c r="F644">
        <v>28.54</v>
      </c>
      <c r="G644" t="str">
        <f>HYPERLINK("https://www.ncbi.nlm.nih.gov/nucleotide/XM_024828224.1?report=genbank&amp;log$=nucltop&amp;blast_rank=68&amp;RID=2007VCB4016","XM_024828224.1")</f>
        <v>XM_024828224.1</v>
      </c>
    </row>
    <row r="645" spans="1:7" x14ac:dyDescent="0.35">
      <c r="A645" t="s">
        <v>474</v>
      </c>
      <c r="B645">
        <v>87</v>
      </c>
      <c r="C645">
        <v>166</v>
      </c>
      <c r="D645" s="2">
        <v>0.67</v>
      </c>
      <c r="E645" s="3">
        <v>6.9999999999999997E-31</v>
      </c>
      <c r="F645">
        <v>28.51</v>
      </c>
      <c r="G645" t="str">
        <f>HYPERLINK("https://www.ncbi.nlm.nih.gov/nucleotide/CP061806.1?report=genbank&amp;log$=nucltop&amp;blast_rank=69&amp;RID=2007VCB4016","CP061806.1")</f>
        <v>CP061806.1</v>
      </c>
    </row>
    <row r="646" spans="1:7" x14ac:dyDescent="0.35">
      <c r="A646" t="s">
        <v>475</v>
      </c>
      <c r="B646">
        <v>87</v>
      </c>
      <c r="C646">
        <v>166</v>
      </c>
      <c r="D646" s="2">
        <v>0.67</v>
      </c>
      <c r="E646" s="3">
        <v>6.9999999999999997E-31</v>
      </c>
      <c r="F646">
        <v>28.51</v>
      </c>
      <c r="G646" t="str">
        <f>HYPERLINK("https://www.ncbi.nlm.nih.gov/nucleotide/CP051037.1?report=genbank&amp;log$=nucltop&amp;blast_rank=70&amp;RID=2007VCB4016","CP051037.1")</f>
        <v>CP051037.1</v>
      </c>
    </row>
    <row r="647" spans="1:7" x14ac:dyDescent="0.35">
      <c r="A647" t="s">
        <v>476</v>
      </c>
      <c r="B647">
        <v>87</v>
      </c>
      <c r="C647">
        <v>166</v>
      </c>
      <c r="D647" s="2">
        <v>0.67</v>
      </c>
      <c r="E647" s="3">
        <v>6.9999999999999997E-31</v>
      </c>
      <c r="F647">
        <v>28.51</v>
      </c>
      <c r="G647" t="str">
        <f>HYPERLINK("https://www.ncbi.nlm.nih.gov/nucleotide/CP051029.1?report=genbank&amp;log$=nucltop&amp;blast_rank=71&amp;RID=2007VCB4016","CP051029.1")</f>
        <v>CP051029.1</v>
      </c>
    </row>
    <row r="648" spans="1:7" x14ac:dyDescent="0.35">
      <c r="A648" t="s">
        <v>477</v>
      </c>
      <c r="B648">
        <v>87</v>
      </c>
      <c r="C648">
        <v>166</v>
      </c>
      <c r="D648" s="2">
        <v>0.67</v>
      </c>
      <c r="E648" s="3">
        <v>6.9999999999999997E-31</v>
      </c>
      <c r="F648">
        <v>28.51</v>
      </c>
      <c r="G648" t="str">
        <f>HYPERLINK("https://www.ncbi.nlm.nih.gov/nucleotide/CP044620.1?report=genbank&amp;log$=nucltop&amp;blast_rank=72&amp;RID=2007VCB4016","CP044620.1")</f>
        <v>CP044620.1</v>
      </c>
    </row>
    <row r="649" spans="1:7" x14ac:dyDescent="0.35">
      <c r="A649" t="s">
        <v>478</v>
      </c>
      <c r="B649">
        <v>87</v>
      </c>
      <c r="C649">
        <v>166</v>
      </c>
      <c r="D649" s="2">
        <v>0.67</v>
      </c>
      <c r="E649" s="3">
        <v>6.9999999999999997E-31</v>
      </c>
      <c r="F649">
        <v>28.51</v>
      </c>
      <c r="G649" t="str">
        <f>HYPERLINK("https://www.ncbi.nlm.nih.gov/nucleotide/CP059868.1?report=genbank&amp;log$=nucltop&amp;blast_rank=73&amp;RID=2007VCB4016","CP059868.1")</f>
        <v>CP059868.1</v>
      </c>
    </row>
    <row r="650" spans="1:7" x14ac:dyDescent="0.35">
      <c r="A650" t="s">
        <v>479</v>
      </c>
      <c r="B650">
        <v>87</v>
      </c>
      <c r="C650">
        <v>166</v>
      </c>
      <c r="D650" s="2">
        <v>0.67</v>
      </c>
      <c r="E650" s="3">
        <v>6.9999999999999997E-31</v>
      </c>
      <c r="F650">
        <v>28.51</v>
      </c>
      <c r="G650" t="str">
        <f>HYPERLINK("https://www.ncbi.nlm.nih.gov/nucleotide/CP051053.1?report=genbank&amp;log$=nucltop&amp;blast_rank=74&amp;RID=2007VCB4016","CP051053.1")</f>
        <v>CP051053.1</v>
      </c>
    </row>
    <row r="651" spans="1:7" x14ac:dyDescent="0.35">
      <c r="A651" t="s">
        <v>480</v>
      </c>
      <c r="B651">
        <v>87</v>
      </c>
      <c r="C651">
        <v>166</v>
      </c>
      <c r="D651" s="2">
        <v>0.67</v>
      </c>
      <c r="E651" s="3">
        <v>6.9999999999999997E-31</v>
      </c>
      <c r="F651">
        <v>28.51</v>
      </c>
      <c r="G651" t="str">
        <f>HYPERLINK("https://www.ncbi.nlm.nih.gov/nucleotide/CP059860.1?report=genbank&amp;log$=nucltop&amp;blast_rank=75&amp;RID=2007VCB4016","CP059860.1")</f>
        <v>CP059860.1</v>
      </c>
    </row>
    <row r="652" spans="1:7" x14ac:dyDescent="0.35">
      <c r="A652" t="s">
        <v>481</v>
      </c>
      <c r="B652">
        <v>87</v>
      </c>
      <c r="C652">
        <v>166</v>
      </c>
      <c r="D652" s="2">
        <v>0.67</v>
      </c>
      <c r="E652" s="3">
        <v>6.9999999999999997E-31</v>
      </c>
      <c r="F652">
        <v>28.51</v>
      </c>
      <c r="G652" t="str">
        <f>HYPERLINK("https://www.ncbi.nlm.nih.gov/nucleotide/CP051045.1?report=genbank&amp;log$=nucltop&amp;blast_rank=76&amp;RID=2007VCB4016","CP051045.1")</f>
        <v>CP051045.1</v>
      </c>
    </row>
    <row r="653" spans="1:7" x14ac:dyDescent="0.35">
      <c r="A653" t="s">
        <v>482</v>
      </c>
      <c r="B653">
        <v>86.7</v>
      </c>
      <c r="C653">
        <v>166</v>
      </c>
      <c r="D653" s="2">
        <v>0.67</v>
      </c>
      <c r="E653" s="3">
        <v>8.0000000000000007E-31</v>
      </c>
      <c r="F653">
        <v>28.51</v>
      </c>
      <c r="G653" t="str">
        <f>HYPERLINK("https://www.ncbi.nlm.nih.gov/nucleotide/CP051069.1?report=genbank&amp;log$=nucltop&amp;blast_rank=77&amp;RID=2007VCB4016","CP051069.1")</f>
        <v>CP051069.1</v>
      </c>
    </row>
    <row r="654" spans="1:7" x14ac:dyDescent="0.35">
      <c r="A654" t="s">
        <v>483</v>
      </c>
      <c r="B654">
        <v>87</v>
      </c>
      <c r="C654">
        <v>166</v>
      </c>
      <c r="D654" s="2">
        <v>0.67</v>
      </c>
      <c r="E654" s="3">
        <v>9.0000000000000008E-31</v>
      </c>
      <c r="F654">
        <v>28.51</v>
      </c>
      <c r="G654" t="str">
        <f>HYPERLINK("https://www.ncbi.nlm.nih.gov/nucleotide/CP047251.1?report=genbank&amp;log$=nucltop&amp;blast_rank=78&amp;RID=2007VCB4016","CP047251.1")</f>
        <v>CP047251.1</v>
      </c>
    </row>
    <row r="655" spans="1:7" x14ac:dyDescent="0.35">
      <c r="A655" t="s">
        <v>484</v>
      </c>
      <c r="B655">
        <v>87</v>
      </c>
      <c r="C655">
        <v>166</v>
      </c>
      <c r="D655" s="2">
        <v>0.67</v>
      </c>
      <c r="E655" s="3">
        <v>9.0000000000000008E-31</v>
      </c>
      <c r="F655">
        <v>28.51</v>
      </c>
      <c r="G655" t="str">
        <f>HYPERLINK("https://www.ncbi.nlm.nih.gov/nucleotide/AP007157.1?report=genbank&amp;log$=nucltop&amp;blast_rank=79&amp;RID=2007VCB4016","AP007157.1")</f>
        <v>AP007157.1</v>
      </c>
    </row>
    <row r="656" spans="1:7" x14ac:dyDescent="0.35">
      <c r="A656" t="s">
        <v>489</v>
      </c>
      <c r="B656">
        <v>86.7</v>
      </c>
      <c r="C656">
        <v>166</v>
      </c>
      <c r="D656" s="2">
        <v>0.67</v>
      </c>
      <c r="E656" s="3">
        <v>1.0000000000000001E-30</v>
      </c>
      <c r="F656">
        <v>28.51</v>
      </c>
      <c r="G656" t="str">
        <f>HYPERLINK("https://www.ncbi.nlm.nih.gov/nucleotide/CP051077.1?report=genbank&amp;log$=nucltop&amp;blast_rank=80&amp;RID=2007VCB4016","CP051077.1")</f>
        <v>CP051077.1</v>
      </c>
    </row>
    <row r="657" spans="1:7" x14ac:dyDescent="0.35">
      <c r="A657" t="s">
        <v>485</v>
      </c>
      <c r="B657">
        <v>86.7</v>
      </c>
      <c r="C657">
        <v>166</v>
      </c>
      <c r="D657" s="2">
        <v>0.67</v>
      </c>
      <c r="E657" s="3">
        <v>1.0000000000000001E-30</v>
      </c>
      <c r="F657">
        <v>28.51</v>
      </c>
      <c r="G657" t="str">
        <f>HYPERLINK("https://www.ncbi.nlm.nih.gov/nucleotide/CP051085.1?report=genbank&amp;log$=nucltop&amp;blast_rank=81&amp;RID=2007VCB4016","CP051085.1")</f>
        <v>CP051085.1</v>
      </c>
    </row>
    <row r="658" spans="1:7" x14ac:dyDescent="0.35">
      <c r="A658" t="s">
        <v>486</v>
      </c>
      <c r="B658">
        <v>86.7</v>
      </c>
      <c r="C658">
        <v>166</v>
      </c>
      <c r="D658" s="2">
        <v>0.67</v>
      </c>
      <c r="E658" s="3">
        <v>1.0000000000000001E-30</v>
      </c>
      <c r="F658">
        <v>28.51</v>
      </c>
      <c r="G658" t="str">
        <f>HYPERLINK("https://www.ncbi.nlm.nih.gov/nucleotide/CP051061.1?report=genbank&amp;log$=nucltop&amp;blast_rank=82&amp;RID=2007VCB4016","CP051061.1")</f>
        <v>CP051061.1</v>
      </c>
    </row>
    <row r="659" spans="1:7" x14ac:dyDescent="0.35">
      <c r="A659" t="s">
        <v>487</v>
      </c>
      <c r="B659">
        <v>86.7</v>
      </c>
      <c r="C659">
        <v>166</v>
      </c>
      <c r="D659" s="2">
        <v>0.67</v>
      </c>
      <c r="E659" s="3">
        <v>1.0000000000000001E-30</v>
      </c>
      <c r="F659">
        <v>28.51</v>
      </c>
      <c r="G659" t="str">
        <f>HYPERLINK("https://www.ncbi.nlm.nih.gov/nucleotide/CP051093.1?report=genbank&amp;log$=nucltop&amp;blast_rank=83&amp;RID=2007VCB4016","CP051093.1")</f>
        <v>CP051093.1</v>
      </c>
    </row>
    <row r="660" spans="1:7" x14ac:dyDescent="0.35">
      <c r="A660" t="s">
        <v>488</v>
      </c>
      <c r="B660">
        <v>86.7</v>
      </c>
      <c r="C660">
        <v>166</v>
      </c>
      <c r="D660" s="2">
        <v>0.67</v>
      </c>
      <c r="E660" s="3">
        <v>1.0000000000000001E-30</v>
      </c>
      <c r="F660">
        <v>28.51</v>
      </c>
      <c r="G660" t="str">
        <f>HYPERLINK("https://www.ncbi.nlm.nih.gov/nucleotide/CP051021.1?report=genbank&amp;log$=nucltop&amp;blast_rank=84&amp;RID=2007VCB4016","CP051021.1")</f>
        <v>CP051021.1</v>
      </c>
    </row>
    <row r="661" spans="1:7" x14ac:dyDescent="0.35">
      <c r="A661" t="s">
        <v>42</v>
      </c>
      <c r="B661">
        <v>172</v>
      </c>
      <c r="C661">
        <v>172</v>
      </c>
      <c r="D661" s="2">
        <v>0.72</v>
      </c>
      <c r="E661" s="3">
        <v>8.0000000000000006E-43</v>
      </c>
      <c r="F661">
        <v>28.51</v>
      </c>
      <c r="G661" t="str">
        <f>HYPERLINK("https://www.ncbi.nlm.nih.gov/nucleotide/XM_015554209.1?report=genbank&amp;log$=nucltop&amp;blast_rank=85&amp;RID=2007VCB4016","XM_015554209.1")</f>
        <v>XM_015554209.1</v>
      </c>
    </row>
    <row r="662" spans="1:7" x14ac:dyDescent="0.35">
      <c r="A662" t="s">
        <v>98</v>
      </c>
      <c r="B662">
        <v>138</v>
      </c>
      <c r="C662">
        <v>241</v>
      </c>
      <c r="D662" s="2">
        <v>0.72</v>
      </c>
      <c r="E662" s="3">
        <v>2.9999999999999999E-30</v>
      </c>
      <c r="F662">
        <v>28.42</v>
      </c>
      <c r="G662" t="str">
        <f>HYPERLINK("https://www.ncbi.nlm.nih.gov/nucleotide/XM_026749516.1?report=genbank&amp;log$=nucltop&amp;blast_rank=86&amp;RID=2007VCB4016","XM_026749516.1")</f>
        <v>XM_026749516.1</v>
      </c>
    </row>
    <row r="663" spans="1:7" x14ac:dyDescent="0.35">
      <c r="A663" t="s">
        <v>491</v>
      </c>
      <c r="B663">
        <v>174</v>
      </c>
      <c r="C663">
        <v>174</v>
      </c>
      <c r="D663" s="2">
        <v>0.72</v>
      </c>
      <c r="E663" s="3">
        <v>1.0000000000000001E-43</v>
      </c>
      <c r="F663">
        <v>28.41</v>
      </c>
      <c r="G663" t="str">
        <f>HYPERLINK("https://www.ncbi.nlm.nih.gov/nucleotide/XM_039068458.1?report=genbank&amp;log$=nucltop&amp;blast_rank=87&amp;RID=2007VCB4016","XM_039068458.1")</f>
        <v>XM_039068458.1</v>
      </c>
    </row>
    <row r="664" spans="1:7" x14ac:dyDescent="0.35">
      <c r="A664" s="4" t="s">
        <v>47</v>
      </c>
      <c r="B664" s="4">
        <v>175</v>
      </c>
      <c r="C664" s="4">
        <v>175</v>
      </c>
      <c r="D664" s="5">
        <v>0.73</v>
      </c>
      <c r="E664" s="6">
        <v>1.0000000000000001E-43</v>
      </c>
      <c r="F664" s="4">
        <v>28.34</v>
      </c>
      <c r="G664" s="4" t="str">
        <f>HYPERLINK("https://www.ncbi.nlm.nih.gov/nucleotide/XM_032089869.1?report=genbank&amp;log$=nucltop&amp;blast_rank=88&amp;RID=2007VCB4016","XM_032089869.1")</f>
        <v>XM_032089869.1</v>
      </c>
    </row>
    <row r="665" spans="1:7" x14ac:dyDescent="0.35">
      <c r="A665" t="s">
        <v>84</v>
      </c>
      <c r="B665">
        <v>165</v>
      </c>
      <c r="C665">
        <v>165</v>
      </c>
      <c r="D665" s="2">
        <v>0.74</v>
      </c>
      <c r="E665" s="3">
        <v>1.9999999999999999E-40</v>
      </c>
      <c r="F665">
        <v>28.19</v>
      </c>
      <c r="G665" t="str">
        <f>HYPERLINK("https://www.ncbi.nlm.nih.gov/nucleotide/XM_023599633.1?report=genbank&amp;log$=nucltop&amp;blast_rank=89&amp;RID=2007VCB4016","XM_023599633.1")</f>
        <v>XM_023599633.1</v>
      </c>
    </row>
    <row r="666" spans="1:7" x14ac:dyDescent="0.35">
      <c r="A666" t="s">
        <v>105</v>
      </c>
      <c r="B666">
        <v>147</v>
      </c>
      <c r="C666">
        <v>147</v>
      </c>
      <c r="D666" s="2">
        <v>0.74</v>
      </c>
      <c r="E666" s="3">
        <v>3.0000000000000002E-33</v>
      </c>
      <c r="F666">
        <v>27.84</v>
      </c>
      <c r="G666" t="str">
        <f>HYPERLINK("https://www.ncbi.nlm.nih.gov/nucleotide/XM_033555780.1?report=genbank&amp;log$=nucltop&amp;blast_rank=90&amp;RID=2007VCB4016","XM_033555780.1")</f>
        <v>XM_033555780.1</v>
      </c>
    </row>
    <row r="667" spans="1:7" x14ac:dyDescent="0.35">
      <c r="A667" t="s">
        <v>97</v>
      </c>
      <c r="B667">
        <v>159</v>
      </c>
      <c r="C667">
        <v>159</v>
      </c>
      <c r="D667" s="2">
        <v>0.69</v>
      </c>
      <c r="E667" s="3">
        <v>5.0000000000000003E-38</v>
      </c>
      <c r="F667">
        <v>27.74</v>
      </c>
      <c r="G667" t="str">
        <f>HYPERLINK("https://www.ncbi.nlm.nih.gov/nucleotide/XM_035484606.1?report=genbank&amp;log$=nucltop&amp;blast_rank=91&amp;RID=2007VCB4016","XM_035484606.1")</f>
        <v>XM_035484606.1</v>
      </c>
    </row>
    <row r="668" spans="1:7" x14ac:dyDescent="0.35">
      <c r="A668" t="s">
        <v>490</v>
      </c>
      <c r="B668">
        <v>85.9</v>
      </c>
      <c r="C668">
        <v>323</v>
      </c>
      <c r="D668" s="2">
        <v>0.67</v>
      </c>
      <c r="E668" s="3">
        <v>3.0000000000000003E-29</v>
      </c>
      <c r="F668">
        <v>27.66</v>
      </c>
      <c r="G668" t="str">
        <f>HYPERLINK("https://www.ncbi.nlm.nih.gov/nucleotide/CP035528.1?report=genbank&amp;log$=nucltop&amp;blast_rank=92&amp;RID=2007VCB4016","CP035528.1")</f>
        <v>CP035528.1</v>
      </c>
    </row>
    <row r="669" spans="1:7" x14ac:dyDescent="0.35">
      <c r="A669" t="s">
        <v>71</v>
      </c>
      <c r="B669">
        <v>141</v>
      </c>
      <c r="C669">
        <v>141</v>
      </c>
      <c r="D669" s="2">
        <v>0.72</v>
      </c>
      <c r="E669" s="3">
        <v>1.0000000000000001E-31</v>
      </c>
      <c r="F669">
        <v>27.46</v>
      </c>
      <c r="G669" t="str">
        <f>HYPERLINK("https://www.ncbi.nlm.nih.gov/nucleotide/XM_025658697.1?report=genbank&amp;log$=nucltop&amp;blast_rank=93&amp;RID=2007VCB4016","XM_025658697.1")</f>
        <v>XM_025658697.1</v>
      </c>
    </row>
    <row r="670" spans="1:7" x14ac:dyDescent="0.35">
      <c r="A670" t="s">
        <v>96</v>
      </c>
      <c r="B670">
        <v>138</v>
      </c>
      <c r="C670">
        <v>138</v>
      </c>
      <c r="D670" s="2">
        <v>0.72</v>
      </c>
      <c r="E670" s="3">
        <v>2.9999999999999999E-30</v>
      </c>
      <c r="F670">
        <v>26.76</v>
      </c>
      <c r="G670" t="str">
        <f>HYPERLINK("https://www.ncbi.nlm.nih.gov/nucleotide/XM_026772820.1?report=genbank&amp;log$=nucltop&amp;blast_rank=94&amp;RID=2007VCB4016","XM_026772820.1")</f>
        <v>XM_026772820.1</v>
      </c>
    </row>
    <row r="671" spans="1:7" x14ac:dyDescent="0.35">
      <c r="A671" t="s">
        <v>86</v>
      </c>
      <c r="B671">
        <v>141</v>
      </c>
      <c r="C671">
        <v>177</v>
      </c>
      <c r="D671" s="2">
        <v>0.7</v>
      </c>
      <c r="E671" s="3">
        <v>3.9999999999999997E-34</v>
      </c>
      <c r="F671">
        <v>26.51</v>
      </c>
      <c r="G671" t="str">
        <f>HYPERLINK("https://www.ncbi.nlm.nih.gov/nucleotide/AM920428.1?report=genbank&amp;log$=nucltop&amp;blast_rank=95&amp;RID=2007VCB4016","AM920428.1")</f>
        <v>AM920428.1</v>
      </c>
    </row>
    <row r="672" spans="1:7" x14ac:dyDescent="0.35">
      <c r="A672" t="s">
        <v>64</v>
      </c>
      <c r="B672">
        <v>139</v>
      </c>
      <c r="C672">
        <v>139</v>
      </c>
      <c r="D672" s="2">
        <v>0.74</v>
      </c>
      <c r="E672" s="3">
        <v>5.0000000000000004E-31</v>
      </c>
      <c r="F672">
        <v>26.3</v>
      </c>
      <c r="G672" t="str">
        <f>HYPERLINK("https://www.ncbi.nlm.nih.gov/nucleotide/XM_025524425.1?report=genbank&amp;log$=nucltop&amp;blast_rank=96&amp;RID=2007VCB4016","XM_025524425.1")</f>
        <v>XM_025524425.1</v>
      </c>
    </row>
    <row r="673" spans="1:7" x14ac:dyDescent="0.35">
      <c r="A673" s="4" t="s">
        <v>87</v>
      </c>
      <c r="B673" s="4">
        <v>144</v>
      </c>
      <c r="C673" s="4">
        <v>144</v>
      </c>
      <c r="D673" s="5">
        <v>0.69</v>
      </c>
      <c r="E673" s="6">
        <v>2.0000000000000001E-32</v>
      </c>
      <c r="F673" s="4">
        <v>26.21</v>
      </c>
      <c r="G673" s="4" t="str">
        <f>HYPERLINK("https://www.ncbi.nlm.nih.gov/nucleotide/XM_007819030.2?report=genbank&amp;log$=nucltop&amp;blast_rank=97&amp;RID=2007VCB4016","XM_007819030.2")</f>
        <v>XM_007819030.2</v>
      </c>
    </row>
    <row r="674" spans="1:7" x14ac:dyDescent="0.35">
      <c r="A674" s="4" t="s">
        <v>99</v>
      </c>
      <c r="B674" s="4">
        <v>141</v>
      </c>
      <c r="C674" s="4">
        <v>141</v>
      </c>
      <c r="D674" s="5">
        <v>0.69</v>
      </c>
      <c r="E674" s="6">
        <v>2.0000000000000002E-31</v>
      </c>
      <c r="F674" s="4">
        <v>25.6</v>
      </c>
      <c r="G674" s="4" t="str">
        <f>HYPERLINK("https://www.ncbi.nlm.nih.gov/nucleotide/XM_014687487.1?report=genbank&amp;log$=nucltop&amp;blast_rank=98&amp;RID=2007VCB4016","XM_014687487.1")</f>
        <v>XM_014687487.1</v>
      </c>
    </row>
    <row r="675" spans="1:7" x14ac:dyDescent="0.35">
      <c r="A675" t="s">
        <v>94</v>
      </c>
      <c r="B675">
        <v>127</v>
      </c>
      <c r="C675">
        <v>162</v>
      </c>
      <c r="D675" s="2">
        <v>0.72</v>
      </c>
      <c r="E675" s="3">
        <v>9.9999999999999994E-30</v>
      </c>
      <c r="F675">
        <v>25.42</v>
      </c>
      <c r="G675" t="str">
        <f>HYPERLINK("https://www.ncbi.nlm.nih.gov/nucleotide/CP051064.1?report=genbank&amp;log$=nucltop&amp;blast_rank=99&amp;RID=2007VCB4016","CP051064.1")</f>
        <v>CP051064.1</v>
      </c>
    </row>
    <row r="676" spans="1:7" x14ac:dyDescent="0.35">
      <c r="A676" t="s">
        <v>93</v>
      </c>
      <c r="B676">
        <v>127</v>
      </c>
      <c r="C676">
        <v>162</v>
      </c>
      <c r="D676" s="2">
        <v>0.72</v>
      </c>
      <c r="E676" s="3">
        <v>9.9999999999999994E-30</v>
      </c>
      <c r="F676">
        <v>25.42</v>
      </c>
      <c r="G676" t="str">
        <f>HYPERLINK("https://www.ncbi.nlm.nih.gov/nucleotide/CP051024.1?report=genbank&amp;log$=nucltop&amp;blast_rank=100&amp;RID=2007VCB4016","CP051024.1")</f>
        <v>CP051024.1</v>
      </c>
    </row>
    <row r="677" spans="1:7" x14ac:dyDescent="0.35">
      <c r="A677" s="1" t="s">
        <v>1229</v>
      </c>
    </row>
    <row r="678" spans="1:7" x14ac:dyDescent="0.35">
      <c r="A678" s="1" t="s">
        <v>2</v>
      </c>
      <c r="B678" s="1" t="s">
        <v>3</v>
      </c>
      <c r="C678" s="1" t="s">
        <v>4</v>
      </c>
      <c r="D678" s="1" t="s">
        <v>5</v>
      </c>
      <c r="E678" s="1" t="s">
        <v>6</v>
      </c>
      <c r="F678" s="1" t="s">
        <v>7</v>
      </c>
      <c r="G678" s="1" t="s">
        <v>8</v>
      </c>
    </row>
    <row r="679" spans="1:7" x14ac:dyDescent="0.35">
      <c r="A679" t="s">
        <v>37</v>
      </c>
      <c r="B679">
        <v>215</v>
      </c>
      <c r="C679">
        <v>893</v>
      </c>
      <c r="D679" s="2">
        <v>0.59</v>
      </c>
      <c r="E679" s="3">
        <v>3E-57</v>
      </c>
      <c r="F679">
        <v>97.12</v>
      </c>
      <c r="G679" t="str">
        <f>HYPERLINK("https://www.ncbi.nlm.nih.gov/nucleotide/LR732085.1?report=genbank&amp;log$=nucltop&amp;blast_rank=1&amp;RID=2009AYK9013","LR732085.1")</f>
        <v>LR732085.1</v>
      </c>
    </row>
    <row r="680" spans="1:7" x14ac:dyDescent="0.35">
      <c r="A680" t="s">
        <v>388</v>
      </c>
      <c r="B680">
        <v>294</v>
      </c>
      <c r="C680">
        <v>294</v>
      </c>
      <c r="D680" s="2">
        <v>0.43</v>
      </c>
      <c r="E680" s="3">
        <v>2.9999999999999999E-88</v>
      </c>
      <c r="F680">
        <v>63.93</v>
      </c>
      <c r="G680" t="str">
        <f>HYPERLINK("https://www.ncbi.nlm.nih.gov/nucleotide/XM_003026031.1?report=genbank&amp;log$=nucltop&amp;blast_rank=2&amp;RID=2009AYK9013","XM_003026031.1")</f>
        <v>XM_003026031.1</v>
      </c>
    </row>
    <row r="681" spans="1:7" x14ac:dyDescent="0.35">
      <c r="A681" t="s">
        <v>381</v>
      </c>
      <c r="B681">
        <v>144</v>
      </c>
      <c r="C681">
        <v>334</v>
      </c>
      <c r="D681" s="2">
        <v>0.53</v>
      </c>
      <c r="E681" s="3">
        <v>9E-60</v>
      </c>
      <c r="F681">
        <v>63.21</v>
      </c>
      <c r="G681" t="str">
        <f>HYPERLINK("https://www.ncbi.nlm.nih.gov/nucleotide/CP068008.1?report=genbank&amp;log$=nucltop&amp;blast_rank=3&amp;RID=2009AYK9013","CP068008.1")</f>
        <v>CP068008.1</v>
      </c>
    </row>
    <row r="682" spans="1:7" x14ac:dyDescent="0.35">
      <c r="A682" s="4" t="s">
        <v>390</v>
      </c>
      <c r="B682" s="4">
        <v>264</v>
      </c>
      <c r="C682" s="4">
        <v>264</v>
      </c>
      <c r="D682" s="5">
        <v>0.43</v>
      </c>
      <c r="E682" s="6">
        <v>3.9999999999999998E-80</v>
      </c>
      <c r="F682" s="4">
        <v>60</v>
      </c>
      <c r="G682" s="4" t="str">
        <f>HYPERLINK("https://www.ncbi.nlm.nih.gov/nucleotide/LR725265.1?report=genbank&amp;log$=nucltop&amp;blast_rank=4&amp;RID=2009AYK9013","LR725265.1")</f>
        <v>LR725265.1</v>
      </c>
    </row>
    <row r="683" spans="1:7" x14ac:dyDescent="0.35">
      <c r="A683" t="s">
        <v>391</v>
      </c>
      <c r="B683">
        <v>268</v>
      </c>
      <c r="C683">
        <v>268</v>
      </c>
      <c r="D683" s="2">
        <v>0.43</v>
      </c>
      <c r="E683" s="3">
        <v>3.9999999999999998E-82</v>
      </c>
      <c r="F683">
        <v>59.81</v>
      </c>
      <c r="G683" t="str">
        <f>HYPERLINK("https://www.ncbi.nlm.nih.gov/nucleotide/XM_024485421.1?report=genbank&amp;log$=nucltop&amp;blast_rank=5&amp;RID=2009AYK9013","XM_024485421.1")</f>
        <v>XM_024485421.1</v>
      </c>
    </row>
    <row r="684" spans="1:7" x14ac:dyDescent="0.35">
      <c r="A684" s="4" t="s">
        <v>389</v>
      </c>
      <c r="B684" s="4">
        <v>273</v>
      </c>
      <c r="C684" s="4">
        <v>273</v>
      </c>
      <c r="D684" s="5">
        <v>0.43</v>
      </c>
      <c r="E684" s="6">
        <v>7.9999999999999997E-81</v>
      </c>
      <c r="F684" s="4">
        <v>59.35</v>
      </c>
      <c r="G684" s="4" t="str">
        <f>HYPERLINK("https://www.ncbi.nlm.nih.gov/nucleotide/XM_001835018.2?report=genbank&amp;log$=nucltop&amp;blast_rank=6&amp;RID=2009AYK9013","XM_001835018.2")</f>
        <v>XM_001835018.2</v>
      </c>
    </row>
    <row r="685" spans="1:7" x14ac:dyDescent="0.35">
      <c r="A685" s="4" t="s">
        <v>392</v>
      </c>
      <c r="B685" s="4">
        <v>265</v>
      </c>
      <c r="C685" s="4">
        <v>265</v>
      </c>
      <c r="D685" s="5">
        <v>0.43</v>
      </c>
      <c r="E685" s="6">
        <v>2.9999999999999999E-82</v>
      </c>
      <c r="F685" s="4">
        <v>59.07</v>
      </c>
      <c r="G685" s="4" t="str">
        <f>HYPERLINK("https://www.ncbi.nlm.nih.gov/nucleotide/XM_007363371.1?report=genbank&amp;log$=nucltop&amp;blast_rank=7&amp;RID=2009AYK9013","XM_007363371.1")</f>
        <v>XM_007363371.1</v>
      </c>
    </row>
    <row r="686" spans="1:7" x14ac:dyDescent="0.35">
      <c r="A686" t="s">
        <v>21</v>
      </c>
      <c r="B686">
        <v>255</v>
      </c>
      <c r="C686">
        <v>255</v>
      </c>
      <c r="D686" s="2">
        <v>0.43</v>
      </c>
      <c r="E686" s="3">
        <v>2.9999999999999999E-78</v>
      </c>
      <c r="F686">
        <v>57.67</v>
      </c>
      <c r="G686" t="str">
        <f>HYPERLINK("https://www.ncbi.nlm.nih.gov/nucleotide/XM_009554316.1?report=genbank&amp;log$=nucltop&amp;blast_rank=8&amp;RID=2009AYK9013","XM_009554316.1")</f>
        <v>XM_009554316.1</v>
      </c>
    </row>
    <row r="687" spans="1:7" x14ac:dyDescent="0.35">
      <c r="A687" s="4" t="s">
        <v>394</v>
      </c>
      <c r="B687" s="4">
        <v>260</v>
      </c>
      <c r="C687" s="4">
        <v>260</v>
      </c>
      <c r="D687" s="5">
        <v>0.43</v>
      </c>
      <c r="E687" s="6">
        <v>1.9999999999999999E-80</v>
      </c>
      <c r="F687" s="4">
        <v>57.6</v>
      </c>
      <c r="G687" s="4" t="str">
        <f>HYPERLINK("https://www.ncbi.nlm.nih.gov/nucleotide/XM_007872033.1?report=genbank&amp;log$=nucltop&amp;blast_rank=9&amp;RID=2009AYK9013","XM_007872033.1")</f>
        <v>XM_007872033.1</v>
      </c>
    </row>
    <row r="688" spans="1:7" x14ac:dyDescent="0.35">
      <c r="A688" t="s">
        <v>380</v>
      </c>
      <c r="B688">
        <v>138</v>
      </c>
      <c r="C688">
        <v>289</v>
      </c>
      <c r="D688" s="2">
        <v>0.39</v>
      </c>
      <c r="E688" s="3">
        <v>2.0000000000000002E-30</v>
      </c>
      <c r="F688">
        <v>57.27</v>
      </c>
      <c r="G688" t="str">
        <f>HYPERLINK("https://www.ncbi.nlm.nih.gov/nucleotide/AC277528.1?report=genbank&amp;log$=nucltop&amp;blast_rank=10&amp;RID=2009AYK9013","AC277528.1")</f>
        <v>AC277528.1</v>
      </c>
    </row>
    <row r="689" spans="1:7" x14ac:dyDescent="0.35">
      <c r="A689" s="4" t="s">
        <v>395</v>
      </c>
      <c r="B689" s="4">
        <v>265</v>
      </c>
      <c r="C689" s="4">
        <v>265</v>
      </c>
      <c r="D689" s="5">
        <v>0.43</v>
      </c>
      <c r="E689" s="6">
        <v>2.9999999999999999E-82</v>
      </c>
      <c r="F689" s="4">
        <v>57.14</v>
      </c>
      <c r="G689" s="4" t="str">
        <f>HYPERLINK("https://www.ncbi.nlm.nih.gov/nucleotide/XM_008043200.1?report=genbank&amp;log$=nucltop&amp;blast_rank=11&amp;RID=2009AYK9013","XM_008043200.1")</f>
        <v>XM_008043200.1</v>
      </c>
    </row>
    <row r="690" spans="1:7" x14ac:dyDescent="0.35">
      <c r="A690" s="4" t="s">
        <v>393</v>
      </c>
      <c r="B690" s="4">
        <v>261</v>
      </c>
      <c r="C690" s="4">
        <v>261</v>
      </c>
      <c r="D690" s="5">
        <v>0.43</v>
      </c>
      <c r="E690" s="6">
        <v>9.0000000000000001E-78</v>
      </c>
      <c r="F690" s="4">
        <v>57.14</v>
      </c>
      <c r="G690" s="4" t="str">
        <f>HYPERLINK("https://www.ncbi.nlm.nih.gov/nucleotide/XM_001879532.1?report=genbank&amp;log$=nucltop&amp;blast_rank=12&amp;RID=2009AYK9013","XM_001879532.1")</f>
        <v>XM_001879532.1</v>
      </c>
    </row>
    <row r="691" spans="1:7" x14ac:dyDescent="0.35">
      <c r="A691" t="s">
        <v>396</v>
      </c>
      <c r="B691">
        <v>255</v>
      </c>
      <c r="C691">
        <v>255</v>
      </c>
      <c r="D691" s="2">
        <v>0.43</v>
      </c>
      <c r="E691" s="3">
        <v>9.9999999999999996E-75</v>
      </c>
      <c r="F691">
        <v>55.14</v>
      </c>
      <c r="G691" t="str">
        <f>HYPERLINK("https://www.ncbi.nlm.nih.gov/nucleotide/XM_027759476.1?report=genbank&amp;log$=nucltop&amp;blast_rank=13&amp;RID=2009AYK9013","XM_027759476.1")</f>
        <v>XM_027759476.1</v>
      </c>
    </row>
    <row r="692" spans="1:7" x14ac:dyDescent="0.35">
      <c r="A692" t="s">
        <v>398</v>
      </c>
      <c r="B692">
        <v>258</v>
      </c>
      <c r="C692">
        <v>315</v>
      </c>
      <c r="D692" s="2">
        <v>0.57999999999999996</v>
      </c>
      <c r="E692" s="3">
        <v>3.9999999999999997E-76</v>
      </c>
      <c r="F692">
        <v>54.46</v>
      </c>
      <c r="G692" t="str">
        <f>HYPERLINK("https://www.ncbi.nlm.nih.gov/nucleotide/XM_007306844.1?report=genbank&amp;log$=nucltop&amp;blast_rank=14&amp;RID=2009AYK9013","XM_007306844.1")</f>
        <v>XM_007306844.1</v>
      </c>
    </row>
    <row r="693" spans="1:7" x14ac:dyDescent="0.35">
      <c r="A693" t="s">
        <v>401</v>
      </c>
      <c r="B693">
        <v>246</v>
      </c>
      <c r="C693">
        <v>246</v>
      </c>
      <c r="D693" s="2">
        <v>0.43</v>
      </c>
      <c r="E693" s="3">
        <v>9.9999999999999992E-72</v>
      </c>
      <c r="F693">
        <v>53.46</v>
      </c>
      <c r="G693" t="str">
        <f>HYPERLINK("https://www.ncbi.nlm.nih.gov/nucleotide/XM_006455985.1?report=genbank&amp;log$=nucltop&amp;blast_rank=15&amp;RID=2009AYK9013","XM_006455985.1")</f>
        <v>XM_006455985.1</v>
      </c>
    </row>
    <row r="694" spans="1:7" x14ac:dyDescent="0.35">
      <c r="A694" t="s">
        <v>402</v>
      </c>
      <c r="B694">
        <v>246</v>
      </c>
      <c r="C694">
        <v>246</v>
      </c>
      <c r="D694" s="2">
        <v>0.43</v>
      </c>
      <c r="E694" s="3">
        <v>1.9999999999999998E-71</v>
      </c>
      <c r="F694">
        <v>53.46</v>
      </c>
      <c r="G694" t="str">
        <f>HYPERLINK("https://www.ncbi.nlm.nih.gov/nucleotide/XM_007331822.1?report=genbank&amp;log$=nucltop&amp;blast_rank=16&amp;RID=2009AYK9013","XM_007331822.1")</f>
        <v>XM_007331822.1</v>
      </c>
    </row>
    <row r="695" spans="1:7" x14ac:dyDescent="0.35">
      <c r="A695" t="s">
        <v>397</v>
      </c>
      <c r="B695">
        <v>267</v>
      </c>
      <c r="C695">
        <v>267</v>
      </c>
      <c r="D695" s="2">
        <v>0.5</v>
      </c>
      <c r="E695" s="3">
        <v>2.9999999999999999E-81</v>
      </c>
      <c r="F695">
        <v>53.41</v>
      </c>
      <c r="G695" t="str">
        <f>HYPERLINK("https://www.ncbi.nlm.nih.gov/nucleotide/XM_007397903.1?report=genbank&amp;log$=nucltop&amp;blast_rank=17&amp;RID=2009AYK9013","XM_007397903.1")</f>
        <v>XM_007397903.1</v>
      </c>
    </row>
    <row r="696" spans="1:7" x14ac:dyDescent="0.35">
      <c r="A696" t="s">
        <v>403</v>
      </c>
      <c r="B696">
        <v>279</v>
      </c>
      <c r="C696">
        <v>338</v>
      </c>
      <c r="D696" s="2">
        <v>0.65</v>
      </c>
      <c r="E696" s="3">
        <v>3.9999999999999999E-85</v>
      </c>
      <c r="F696">
        <v>53.2</v>
      </c>
      <c r="G696" t="str">
        <f>HYPERLINK("https://www.ncbi.nlm.nih.gov/nucleotide/XM_037362770.1?report=genbank&amp;log$=nucltop&amp;blast_rank=18&amp;RID=2009AYK9013","XM_037362770.1")</f>
        <v>XM_037362770.1</v>
      </c>
    </row>
    <row r="697" spans="1:7" x14ac:dyDescent="0.35">
      <c r="A697" s="4" t="s">
        <v>399</v>
      </c>
      <c r="B697" s="4">
        <v>255</v>
      </c>
      <c r="C697" s="4">
        <v>255</v>
      </c>
      <c r="D697" s="5">
        <v>0.43</v>
      </c>
      <c r="E697" s="6">
        <v>6.0000000000000003E-77</v>
      </c>
      <c r="F697" s="4">
        <v>52.8</v>
      </c>
      <c r="G697" s="4" t="str">
        <f>HYPERLINK("https://www.ncbi.nlm.nih.gov/nucleotide/XM_007385455.1?report=genbank&amp;log$=nucltop&amp;blast_rank=19&amp;RID=2009AYK9013","XM_007385455.1")</f>
        <v>XM_007385455.1</v>
      </c>
    </row>
    <row r="698" spans="1:7" x14ac:dyDescent="0.35">
      <c r="A698" s="4" t="s">
        <v>404</v>
      </c>
      <c r="B698" s="4">
        <v>224</v>
      </c>
      <c r="C698" s="4">
        <v>224</v>
      </c>
      <c r="D698" s="5">
        <v>0.41</v>
      </c>
      <c r="E698" s="6">
        <v>1.0000000000000001E-63</v>
      </c>
      <c r="F698" s="4">
        <v>52.22</v>
      </c>
      <c r="G698" s="4" t="str">
        <f>HYPERLINK("https://www.ncbi.nlm.nih.gov/nucleotide/XM_036771658.1?report=genbank&amp;log$=nucltop&amp;blast_rank=20&amp;RID=2009AYK9013","XM_036771658.1")</f>
        <v>XM_036771658.1</v>
      </c>
    </row>
    <row r="699" spans="1:7" x14ac:dyDescent="0.35">
      <c r="A699" s="4" t="s">
        <v>400</v>
      </c>
      <c r="B699" s="4">
        <v>228</v>
      </c>
      <c r="C699" s="4">
        <v>228</v>
      </c>
      <c r="D699" s="5">
        <v>0.43</v>
      </c>
      <c r="E699" s="6">
        <v>1.0000000000000001E-63</v>
      </c>
      <c r="F699" s="4">
        <v>52.09</v>
      </c>
      <c r="G699" s="4" t="str">
        <f>HYPERLINK("https://www.ncbi.nlm.nih.gov/nucleotide/XM_007262375.1?report=genbank&amp;log$=nucltop&amp;blast_rank=21&amp;RID=2009AYK9013","XM_007262375.1")</f>
        <v>XM_007262375.1</v>
      </c>
    </row>
    <row r="700" spans="1:7" x14ac:dyDescent="0.35">
      <c r="A700" t="s">
        <v>383</v>
      </c>
      <c r="B700">
        <v>161</v>
      </c>
      <c r="C700">
        <v>255</v>
      </c>
      <c r="D700" s="2">
        <v>0.38</v>
      </c>
      <c r="E700" s="3">
        <v>2.9999999999999999E-38</v>
      </c>
      <c r="F700">
        <v>51.01</v>
      </c>
      <c r="G700" t="str">
        <f>HYPERLINK("https://www.ncbi.nlm.nih.gov/nucleotide/CP015481.1?report=genbank&amp;log$=nucltop&amp;blast_rank=22&amp;RID=2009AYK9013","CP015481.1")</f>
        <v>CP015481.1</v>
      </c>
    </row>
    <row r="701" spans="1:7" x14ac:dyDescent="0.35">
      <c r="A701" t="s">
        <v>384</v>
      </c>
      <c r="B701">
        <v>161</v>
      </c>
      <c r="C701">
        <v>254</v>
      </c>
      <c r="D701" s="2">
        <v>0.38</v>
      </c>
      <c r="E701" s="3">
        <v>3.9999999999999998E-38</v>
      </c>
      <c r="F701">
        <v>51.01</v>
      </c>
      <c r="G701" t="str">
        <f>HYPERLINK("https://www.ncbi.nlm.nih.gov/nucleotide/AC253760.1?report=genbank&amp;log$=nucltop&amp;blast_rank=23&amp;RID=2009AYK9013","AC253760.1")</f>
        <v>AC253760.1</v>
      </c>
    </row>
    <row r="702" spans="1:7" x14ac:dyDescent="0.35">
      <c r="A702" t="s">
        <v>385</v>
      </c>
      <c r="B702">
        <v>161</v>
      </c>
      <c r="C702">
        <v>254</v>
      </c>
      <c r="D702" s="2">
        <v>0.38</v>
      </c>
      <c r="E702" s="3">
        <v>5.0000000000000003E-38</v>
      </c>
      <c r="F702">
        <v>51.01</v>
      </c>
      <c r="G702" t="str">
        <f>HYPERLINK("https://www.ncbi.nlm.nih.gov/nucleotide/CP015468.1?report=genbank&amp;log$=nucltop&amp;blast_rank=24&amp;RID=2009AYK9013","CP015468.1")</f>
        <v>CP015468.1</v>
      </c>
    </row>
    <row r="703" spans="1:7" x14ac:dyDescent="0.35">
      <c r="A703" t="s">
        <v>126</v>
      </c>
      <c r="B703">
        <v>217</v>
      </c>
      <c r="C703">
        <v>217</v>
      </c>
      <c r="D703" s="2">
        <v>0.43</v>
      </c>
      <c r="E703" s="3">
        <v>1E-59</v>
      </c>
      <c r="F703">
        <v>50</v>
      </c>
      <c r="G703" t="str">
        <f>HYPERLINK("https://www.ncbi.nlm.nih.gov/nucleotide/XM_007775763.1?report=genbank&amp;log$=nucltop&amp;blast_rank=25&amp;RID=2009AYK9013","XM_007775763.1")</f>
        <v>XM_007775763.1</v>
      </c>
    </row>
    <row r="704" spans="1:7" x14ac:dyDescent="0.35">
      <c r="A704" t="s">
        <v>405</v>
      </c>
      <c r="B704">
        <v>239</v>
      </c>
      <c r="C704">
        <v>239</v>
      </c>
      <c r="D704" s="2">
        <v>0.43</v>
      </c>
      <c r="E704" s="3">
        <v>9.9999999999999997E-65</v>
      </c>
      <c r="F704">
        <v>49</v>
      </c>
      <c r="G704" t="str">
        <f>HYPERLINK("https://www.ncbi.nlm.nih.gov/nucleotide/CP019382.1?report=genbank&amp;log$=nucltop&amp;blast_rank=26&amp;RID=2009AYK9013","CP019382.1")</f>
        <v>CP019382.1</v>
      </c>
    </row>
    <row r="705" spans="1:7" x14ac:dyDescent="0.35">
      <c r="A705" t="s">
        <v>428</v>
      </c>
      <c r="B705">
        <v>196</v>
      </c>
      <c r="C705">
        <v>196</v>
      </c>
      <c r="D705" s="2">
        <v>0.43</v>
      </c>
      <c r="E705" s="3">
        <v>4.0000000000000001E-53</v>
      </c>
      <c r="F705">
        <v>48.13</v>
      </c>
      <c r="G705" t="str">
        <f>HYPERLINK("https://www.ncbi.nlm.nih.gov/nucleotide/XM_011391860.1?report=genbank&amp;log$=nucltop&amp;blast_rank=27&amp;RID=2009AYK9013","XM_011391860.1")</f>
        <v>XM_011391860.1</v>
      </c>
    </row>
    <row r="706" spans="1:7" x14ac:dyDescent="0.35">
      <c r="A706" t="s">
        <v>413</v>
      </c>
      <c r="B706">
        <v>189</v>
      </c>
      <c r="C706">
        <v>189</v>
      </c>
      <c r="D706" s="2">
        <v>0.43</v>
      </c>
      <c r="E706" s="3">
        <v>1.9999999999999999E-47</v>
      </c>
      <c r="F706">
        <v>48.13</v>
      </c>
      <c r="G706" t="str">
        <f>HYPERLINK("https://www.ncbi.nlm.nih.gov/nucleotide/LT558130.1?report=genbank&amp;log$=nucltop&amp;blast_rank=28&amp;RID=2009AYK9013","LT558130.1")</f>
        <v>LT558130.1</v>
      </c>
    </row>
    <row r="707" spans="1:7" x14ac:dyDescent="0.35">
      <c r="A707" s="4" t="s">
        <v>414</v>
      </c>
      <c r="B707" s="4">
        <v>193</v>
      </c>
      <c r="C707" s="4">
        <v>193</v>
      </c>
      <c r="D707" s="5">
        <v>0.43</v>
      </c>
      <c r="E707" s="6">
        <v>1E-51</v>
      </c>
      <c r="F707" s="4">
        <v>47.73</v>
      </c>
      <c r="G707" s="4" t="str">
        <f>HYPERLINK("https://www.ncbi.nlm.nih.gov/nucleotide/XM_025507480.1?report=genbank&amp;log$=nucltop&amp;blast_rank=29&amp;RID=2009AYK9013","XM_025507480.1")</f>
        <v>XM_025507480.1</v>
      </c>
    </row>
    <row r="708" spans="1:7" x14ac:dyDescent="0.35">
      <c r="A708" t="s">
        <v>421</v>
      </c>
      <c r="B708">
        <v>188</v>
      </c>
      <c r="C708">
        <v>188</v>
      </c>
      <c r="D708" s="2">
        <v>0.43</v>
      </c>
      <c r="E708" s="3">
        <v>4E-50</v>
      </c>
      <c r="F708">
        <v>47.66</v>
      </c>
      <c r="G708" t="str">
        <f>HYPERLINK("https://www.ncbi.nlm.nih.gov/nucleotide/XM_029881727.1?report=genbank&amp;log$=nucltop&amp;blast_rank=30&amp;RID=2009AYK9013","XM_029881727.1")</f>
        <v>XM_029881727.1</v>
      </c>
    </row>
    <row r="709" spans="1:7" x14ac:dyDescent="0.35">
      <c r="A709" t="s">
        <v>422</v>
      </c>
      <c r="B709">
        <v>187</v>
      </c>
      <c r="C709">
        <v>187</v>
      </c>
      <c r="D709" s="2">
        <v>0.43</v>
      </c>
      <c r="E709" s="3">
        <v>3.0000000000000002E-47</v>
      </c>
      <c r="F709">
        <v>47.66</v>
      </c>
      <c r="G709" t="str">
        <f>HYPERLINK("https://www.ncbi.nlm.nih.gov/nucleotide/HG529735.1?report=genbank&amp;log$=nucltop&amp;blast_rank=31&amp;RID=2009AYK9013","HG529735.1")</f>
        <v>HG529735.1</v>
      </c>
    </row>
    <row r="710" spans="1:7" x14ac:dyDescent="0.35">
      <c r="A710" t="s">
        <v>429</v>
      </c>
      <c r="B710">
        <v>185</v>
      </c>
      <c r="C710">
        <v>185</v>
      </c>
      <c r="D710" s="2">
        <v>0.43</v>
      </c>
      <c r="E710" s="3">
        <v>2.9999999999999999E-46</v>
      </c>
      <c r="F710">
        <v>47.66</v>
      </c>
      <c r="G710" t="str">
        <f>HYPERLINK("https://www.ncbi.nlm.nih.gov/nucleotide/FQ311431.1?report=genbank&amp;log$=nucltop&amp;blast_rank=32&amp;RID=2009AYK9013","FQ311431.1")</f>
        <v>FQ311431.1</v>
      </c>
    </row>
    <row r="711" spans="1:7" x14ac:dyDescent="0.35">
      <c r="A711" t="s">
        <v>423</v>
      </c>
      <c r="B711">
        <v>185</v>
      </c>
      <c r="C711">
        <v>185</v>
      </c>
      <c r="D711" s="2">
        <v>0.43</v>
      </c>
      <c r="E711" s="3">
        <v>4.0000000000000001E-46</v>
      </c>
      <c r="F711">
        <v>47.66</v>
      </c>
      <c r="G711" t="str">
        <f>HYPERLINK("https://www.ncbi.nlm.nih.gov/nucleotide/LK056684.1?report=genbank&amp;log$=nucltop&amp;blast_rank=33&amp;RID=2009AYK9013","LK056684.1")</f>
        <v>LK056684.1</v>
      </c>
    </row>
    <row r="712" spans="1:7" x14ac:dyDescent="0.35">
      <c r="A712" t="s">
        <v>424</v>
      </c>
      <c r="B712">
        <v>185</v>
      </c>
      <c r="C712">
        <v>185</v>
      </c>
      <c r="D712" s="2">
        <v>0.43</v>
      </c>
      <c r="E712" s="3">
        <v>4.0000000000000001E-46</v>
      </c>
      <c r="F712">
        <v>47.66</v>
      </c>
      <c r="G712" t="str">
        <f>HYPERLINK("https://www.ncbi.nlm.nih.gov/nucleotide/CP010927.1?report=genbank&amp;log$=nucltop&amp;blast_rank=34&amp;RID=2009AYK9013","CP010927.1")</f>
        <v>CP010927.1</v>
      </c>
    </row>
    <row r="713" spans="1:7" x14ac:dyDescent="0.35">
      <c r="A713" t="s">
        <v>430</v>
      </c>
      <c r="B713">
        <v>184</v>
      </c>
      <c r="C713">
        <v>184</v>
      </c>
      <c r="D713" s="2">
        <v>0.43</v>
      </c>
      <c r="E713" s="3">
        <v>4.0000000000000001E-46</v>
      </c>
      <c r="F713">
        <v>47.66</v>
      </c>
      <c r="G713" t="str">
        <f>HYPERLINK("https://www.ncbi.nlm.nih.gov/nucleotide/LT795063.1?report=genbank&amp;log$=nucltop&amp;blast_rank=35&amp;RID=2009AYK9013","LT795063.1")</f>
        <v>LT795063.1</v>
      </c>
    </row>
    <row r="714" spans="1:7" x14ac:dyDescent="0.35">
      <c r="A714" t="s">
        <v>170</v>
      </c>
      <c r="B714">
        <v>186</v>
      </c>
      <c r="C714">
        <v>186</v>
      </c>
      <c r="D714" s="2">
        <v>0.43</v>
      </c>
      <c r="E714" s="3">
        <v>1.9999999999999999E-49</v>
      </c>
      <c r="F714">
        <v>47.2</v>
      </c>
      <c r="G714" t="str">
        <f>HYPERLINK("https://www.ncbi.nlm.nih.gov/nucleotide/XM_012334052.1?report=genbank&amp;log$=nucltop&amp;blast_rank=36&amp;RID=2009AYK9013","XM_012334052.1")</f>
        <v>XM_012334052.1</v>
      </c>
    </row>
    <row r="715" spans="1:7" x14ac:dyDescent="0.35">
      <c r="A715" t="s">
        <v>183</v>
      </c>
      <c r="B715">
        <v>184</v>
      </c>
      <c r="C715">
        <v>184</v>
      </c>
      <c r="D715" s="2">
        <v>0.43</v>
      </c>
      <c r="E715" s="3">
        <v>3E-49</v>
      </c>
      <c r="F715">
        <v>47.2</v>
      </c>
      <c r="G715" t="str">
        <f>HYPERLINK("https://www.ncbi.nlm.nih.gov/nucleotide/XM_016436758.1?report=genbank&amp;log$=nucltop&amp;blast_rank=37&amp;RID=2009AYK9013","XM_016436758.1")</f>
        <v>XM_016436758.1</v>
      </c>
    </row>
    <row r="716" spans="1:7" x14ac:dyDescent="0.35">
      <c r="A716" t="s">
        <v>406</v>
      </c>
      <c r="B716">
        <v>205</v>
      </c>
      <c r="C716">
        <v>205</v>
      </c>
      <c r="D716" s="2">
        <v>0.43</v>
      </c>
      <c r="E716" s="3">
        <v>2.0000000000000001E-56</v>
      </c>
      <c r="F716">
        <v>46.48</v>
      </c>
      <c r="G716" t="str">
        <f>HYPERLINK("https://www.ncbi.nlm.nih.gov/nucleotide/XM_039056251.1?report=genbank&amp;log$=nucltop&amp;blast_rank=38&amp;RID=2009AYK9013","XM_039056251.1")</f>
        <v>XM_039056251.1</v>
      </c>
    </row>
    <row r="717" spans="1:7" x14ac:dyDescent="0.35">
      <c r="A717" s="4" t="s">
        <v>412</v>
      </c>
      <c r="B717" s="4">
        <v>195</v>
      </c>
      <c r="C717" s="4">
        <v>195</v>
      </c>
      <c r="D717" s="5">
        <v>0.43</v>
      </c>
      <c r="E717" s="6">
        <v>1E-52</v>
      </c>
      <c r="F717" s="4">
        <v>46.3</v>
      </c>
      <c r="G717" s="4" t="str">
        <f>HYPERLINK("https://www.ncbi.nlm.nih.gov/nucleotide/XM_019193050.1?report=genbank&amp;log$=nucltop&amp;blast_rank=39&amp;RID=2009AYK9013","XM_019193050.1")</f>
        <v>XM_019193050.1</v>
      </c>
    </row>
    <row r="718" spans="1:7" x14ac:dyDescent="0.35">
      <c r="A718" t="s">
        <v>166</v>
      </c>
      <c r="B718">
        <v>182</v>
      </c>
      <c r="C718">
        <v>182</v>
      </c>
      <c r="D718" s="2">
        <v>0.39</v>
      </c>
      <c r="E718" s="3">
        <v>2E-45</v>
      </c>
      <c r="F718">
        <v>46.19</v>
      </c>
      <c r="G718" t="str">
        <f>HYPERLINK("https://www.ncbi.nlm.nih.gov/nucleotide/CP060305.1?report=genbank&amp;log$=nucltop&amp;blast_rank=40&amp;RID=2009AYK9013","CP060305.1")</f>
        <v>CP060305.1</v>
      </c>
    </row>
    <row r="719" spans="1:7" x14ac:dyDescent="0.35">
      <c r="A719" s="4" t="s">
        <v>415</v>
      </c>
      <c r="B719" s="4">
        <v>196</v>
      </c>
      <c r="C719" s="4">
        <v>196</v>
      </c>
      <c r="D719" s="5">
        <v>0.43</v>
      </c>
      <c r="E719" s="6">
        <v>3.0000000000000002E-53</v>
      </c>
      <c r="F719" s="4">
        <v>46.19</v>
      </c>
      <c r="G719" s="4" t="str">
        <f>HYPERLINK("https://www.ncbi.nlm.nih.gov/nucleotide/XM_019155149.1?report=genbank&amp;log$=nucltop&amp;blast_rank=41&amp;RID=2009AYK9013","XM_019155149.1")</f>
        <v>XM_019155149.1</v>
      </c>
    </row>
    <row r="720" spans="1:7" x14ac:dyDescent="0.35">
      <c r="A720" s="4" t="s">
        <v>416</v>
      </c>
      <c r="B720" s="4">
        <v>196</v>
      </c>
      <c r="C720" s="4">
        <v>196</v>
      </c>
      <c r="D720" s="5">
        <v>0.43</v>
      </c>
      <c r="E720" s="6">
        <v>3.0000000000000002E-53</v>
      </c>
      <c r="F720" s="4">
        <v>46.19</v>
      </c>
      <c r="G720" s="4" t="str">
        <f>HYPERLINK("https://www.ncbi.nlm.nih.gov/nucleotide/XM_018409022.1?report=genbank&amp;log$=nucltop&amp;blast_rank=42&amp;RID=2009AYK9013","XM_018409022.1")</f>
        <v>XM_018409022.1</v>
      </c>
    </row>
    <row r="721" spans="1:7" x14ac:dyDescent="0.35">
      <c r="A721" t="s">
        <v>185</v>
      </c>
      <c r="B721">
        <v>184</v>
      </c>
      <c r="C721">
        <v>184</v>
      </c>
      <c r="D721" s="2">
        <v>0.43</v>
      </c>
      <c r="E721" s="3">
        <v>9.9999999999999994E-50</v>
      </c>
      <c r="F721">
        <v>46.05</v>
      </c>
      <c r="G721" t="str">
        <f>HYPERLINK("https://www.ncbi.nlm.nih.gov/nucleotide/XM_007878763.1?report=genbank&amp;log$=nucltop&amp;blast_rank=43&amp;RID=2009AYK9013","XM_007878763.1")</f>
        <v>XM_007878763.1</v>
      </c>
    </row>
    <row r="722" spans="1:7" x14ac:dyDescent="0.35">
      <c r="A722" s="4" t="s">
        <v>434</v>
      </c>
      <c r="B722" s="4">
        <v>185</v>
      </c>
      <c r="C722" s="4">
        <v>185</v>
      </c>
      <c r="D722" s="5">
        <v>0.4</v>
      </c>
      <c r="E722" s="6">
        <v>1.9999999999999999E-48</v>
      </c>
      <c r="F722" s="4">
        <v>46.04</v>
      </c>
      <c r="G722" s="4" t="str">
        <f>HYPERLINK("https://www.ncbi.nlm.nih.gov/nucleotide/XM_014800184.1?report=genbank&amp;log$=nucltop&amp;blast_rank=44&amp;RID=2009AYK9013","XM_014800184.1")</f>
        <v>XM_014800184.1</v>
      </c>
    </row>
    <row r="723" spans="1:7" x14ac:dyDescent="0.35">
      <c r="A723" s="4" t="s">
        <v>432</v>
      </c>
      <c r="B723" s="4">
        <v>195</v>
      </c>
      <c r="C723" s="4">
        <v>195</v>
      </c>
      <c r="D723" s="5">
        <v>0.43</v>
      </c>
      <c r="E723" s="6">
        <v>6.9999999999999999E-53</v>
      </c>
      <c r="F723" s="4">
        <v>46.01</v>
      </c>
      <c r="G723" s="4" t="str">
        <f>HYPERLINK("https://www.ncbi.nlm.nih.gov/nucleotide/XM_013385617.1?report=genbank&amp;log$=nucltop&amp;blast_rank=45&amp;RID=2009AYK9013","XM_013385617.1")</f>
        <v>XM_013385617.1</v>
      </c>
    </row>
    <row r="724" spans="1:7" x14ac:dyDescent="0.35">
      <c r="A724" s="4" t="s">
        <v>420</v>
      </c>
      <c r="B724" s="4">
        <v>191</v>
      </c>
      <c r="C724" s="4">
        <v>191</v>
      </c>
      <c r="D724" s="5">
        <v>0.43</v>
      </c>
      <c r="E724" s="6">
        <v>2E-51</v>
      </c>
      <c r="F724" s="4">
        <v>45.5</v>
      </c>
      <c r="G724" s="4" t="str">
        <f>HYPERLINK("https://www.ncbi.nlm.nih.gov/nucleotide/XM_019143722.1?report=genbank&amp;log$=nucltop&amp;blast_rank=46&amp;RID=2009AYK9013","XM_019143722.1")</f>
        <v>XM_019143722.1</v>
      </c>
    </row>
    <row r="725" spans="1:7" x14ac:dyDescent="0.35">
      <c r="A725" t="s">
        <v>417</v>
      </c>
      <c r="B725">
        <v>184</v>
      </c>
      <c r="C725">
        <v>184</v>
      </c>
      <c r="D725" s="2">
        <v>0.43</v>
      </c>
      <c r="E725" s="3">
        <v>1.9999999999999999E-48</v>
      </c>
      <c r="F725">
        <v>45.21</v>
      </c>
      <c r="G725" t="str">
        <f>HYPERLINK("https://www.ncbi.nlm.nih.gov/nucleotide/XM_007006886.1?report=genbank&amp;log$=nucltop&amp;blast_rank=47&amp;RID=2009AYK9013","XM_007006886.1")</f>
        <v>XM_007006886.1</v>
      </c>
    </row>
    <row r="726" spans="1:7" x14ac:dyDescent="0.35">
      <c r="A726" t="s">
        <v>427</v>
      </c>
      <c r="B726">
        <v>192</v>
      </c>
      <c r="C726">
        <v>192</v>
      </c>
      <c r="D726" s="2">
        <v>0.43</v>
      </c>
      <c r="E726" s="3">
        <v>3E-51</v>
      </c>
      <c r="F726">
        <v>45.09</v>
      </c>
      <c r="G726" t="str">
        <f>HYPERLINK("https://www.ncbi.nlm.nih.gov/nucleotide/XM_019138643.1?report=genbank&amp;log$=nucltop&amp;blast_rank=48&amp;RID=2009AYK9013","XM_019138643.1")</f>
        <v>XM_019138643.1</v>
      </c>
    </row>
    <row r="727" spans="1:7" x14ac:dyDescent="0.35">
      <c r="A727" t="s">
        <v>408</v>
      </c>
      <c r="B727">
        <v>186</v>
      </c>
      <c r="C727">
        <v>186</v>
      </c>
      <c r="D727" s="2">
        <v>0.43</v>
      </c>
      <c r="E727" s="3">
        <v>1.9999999999999999E-49</v>
      </c>
      <c r="F727">
        <v>45</v>
      </c>
      <c r="G727" t="str">
        <f>HYPERLINK("https://www.ncbi.nlm.nih.gov/nucleotide/XM_003194443.1?report=genbank&amp;log$=nucltop&amp;blast_rank=49&amp;RID=2009AYK9013","XM_003194443.1")</f>
        <v>XM_003194443.1</v>
      </c>
    </row>
    <row r="728" spans="1:7" x14ac:dyDescent="0.35">
      <c r="A728" t="s">
        <v>409</v>
      </c>
      <c r="B728">
        <v>184</v>
      </c>
      <c r="C728">
        <v>184</v>
      </c>
      <c r="D728" s="2">
        <v>0.43</v>
      </c>
      <c r="E728" s="3">
        <v>9.0000000000000004E-49</v>
      </c>
      <c r="F728">
        <v>45</v>
      </c>
      <c r="G728" t="str">
        <f>HYPERLINK("https://www.ncbi.nlm.nih.gov/nucleotide/XM_770139.1?report=genbank&amp;log$=nucltop&amp;blast_rank=50&amp;RID=2009AYK9013","XM_770139.1")</f>
        <v>XM_770139.1</v>
      </c>
    </row>
    <row r="729" spans="1:7" x14ac:dyDescent="0.35">
      <c r="A729" s="4" t="s">
        <v>410</v>
      </c>
      <c r="B729" s="4">
        <v>184</v>
      </c>
      <c r="C729" s="4">
        <v>184</v>
      </c>
      <c r="D729" s="5">
        <v>0.43</v>
      </c>
      <c r="E729" s="6">
        <v>9.9999999999999997E-49</v>
      </c>
      <c r="F729" s="4">
        <v>45</v>
      </c>
      <c r="G729" s="4" t="str">
        <f>HYPERLINK("https://www.ncbi.nlm.nih.gov/nucleotide/HQ399545.1?report=genbank&amp;log$=nucltop&amp;blast_rank=51&amp;RID=2009AYK9013","HQ399545.1")</f>
        <v>HQ399545.1</v>
      </c>
    </row>
    <row r="730" spans="1:7" x14ac:dyDescent="0.35">
      <c r="A730" t="s">
        <v>411</v>
      </c>
      <c r="B730">
        <v>184</v>
      </c>
      <c r="C730">
        <v>184</v>
      </c>
      <c r="D730" s="2">
        <v>0.43</v>
      </c>
      <c r="E730" s="3">
        <v>2E-46</v>
      </c>
      <c r="F730">
        <v>45</v>
      </c>
      <c r="G730" t="str">
        <f>HYPERLINK("https://www.ncbi.nlm.nih.gov/nucleotide/XM_571034.2?report=genbank&amp;log$=nucltop&amp;blast_rank=52&amp;RID=2009AYK9013","XM_571034.2")</f>
        <v>XM_571034.2</v>
      </c>
    </row>
    <row r="731" spans="1:7" x14ac:dyDescent="0.35">
      <c r="A731" s="4" t="s">
        <v>418</v>
      </c>
      <c r="B731" s="4">
        <v>184</v>
      </c>
      <c r="C731" s="4">
        <v>184</v>
      </c>
      <c r="D731" s="5">
        <v>0.43</v>
      </c>
      <c r="E731" s="6">
        <v>3.9999999999999999E-47</v>
      </c>
      <c r="F731" s="4">
        <v>44.8</v>
      </c>
      <c r="G731" s="4" t="str">
        <f>HYPERLINK("https://www.ncbi.nlm.nih.gov/nucleotide/XM_012194483.1?report=genbank&amp;log$=nucltop&amp;blast_rank=53&amp;RID=2009AYK9013","XM_012194483.1")</f>
        <v>XM_012194483.1</v>
      </c>
    </row>
    <row r="732" spans="1:7" x14ac:dyDescent="0.35">
      <c r="A732" t="s">
        <v>382</v>
      </c>
      <c r="B732">
        <v>225</v>
      </c>
      <c r="C732">
        <v>225</v>
      </c>
      <c r="D732" s="2">
        <v>0.43</v>
      </c>
      <c r="E732" s="3">
        <v>6.0000000000000004E-60</v>
      </c>
      <c r="F732">
        <v>44.79</v>
      </c>
      <c r="G732" t="str">
        <f>HYPERLINK("https://www.ncbi.nlm.nih.gov/nucleotide/CP039884.1?report=genbank&amp;log$=nucltop&amp;blast_rank=54&amp;RID=2009AYK9013","CP039884.1")</f>
        <v>CP039884.1</v>
      </c>
    </row>
    <row r="733" spans="1:7" x14ac:dyDescent="0.35">
      <c r="A733" s="4" t="s">
        <v>407</v>
      </c>
      <c r="B733" s="4">
        <v>191</v>
      </c>
      <c r="C733" s="4">
        <v>191</v>
      </c>
      <c r="D733" s="5">
        <v>0.43</v>
      </c>
      <c r="E733" s="6">
        <v>8.9999999999999997E-54</v>
      </c>
      <c r="F733" s="4">
        <v>44.69</v>
      </c>
      <c r="G733" s="4" t="str">
        <f>HYPERLINK("https://www.ncbi.nlm.nih.gov/nucleotide/XM_018424900.1?report=genbank&amp;log$=nucltop&amp;blast_rank=55&amp;RID=2009AYK9013","XM_018424900.1")</f>
        <v>XM_018424900.1</v>
      </c>
    </row>
    <row r="734" spans="1:7" x14ac:dyDescent="0.35">
      <c r="A734" t="s">
        <v>426</v>
      </c>
      <c r="B734">
        <v>182</v>
      </c>
      <c r="C734">
        <v>182</v>
      </c>
      <c r="D734" s="2">
        <v>0.43</v>
      </c>
      <c r="E734" s="3">
        <v>2.9999999999999999E-48</v>
      </c>
      <c r="F734">
        <v>44.65</v>
      </c>
      <c r="G734" t="str">
        <f>HYPERLINK("https://www.ncbi.nlm.nih.gov/nucleotide/XM_032005597.1?report=genbank&amp;log$=nucltop&amp;blast_rank=56&amp;RID=2009AYK9013","XM_032005597.1")</f>
        <v>XM_032005597.1</v>
      </c>
    </row>
    <row r="735" spans="1:7" x14ac:dyDescent="0.35">
      <c r="A735" s="4" t="s">
        <v>419</v>
      </c>
      <c r="B735" s="4">
        <v>184</v>
      </c>
      <c r="C735" s="4">
        <v>184</v>
      </c>
      <c r="D735" s="5">
        <v>0.43</v>
      </c>
      <c r="E735" s="6">
        <v>1.9999999999999999E-48</v>
      </c>
      <c r="F735" s="4">
        <v>44.64</v>
      </c>
      <c r="G735" s="4" t="str">
        <f>HYPERLINK("https://www.ncbi.nlm.nih.gov/nucleotide/XM_019179827.1?report=genbank&amp;log$=nucltop&amp;blast_rank=57&amp;RID=2009AYK9013","XM_019179827.1")</f>
        <v>XM_019179827.1</v>
      </c>
    </row>
    <row r="736" spans="1:7" x14ac:dyDescent="0.35">
      <c r="A736" t="s">
        <v>435</v>
      </c>
      <c r="B736">
        <v>184</v>
      </c>
      <c r="C736">
        <v>184</v>
      </c>
      <c r="D736" s="2">
        <v>0.43</v>
      </c>
      <c r="E736" s="3">
        <v>5.9999999999999998E-48</v>
      </c>
      <c r="F736">
        <v>43.64</v>
      </c>
      <c r="G736" t="str">
        <f>HYPERLINK("https://www.ncbi.nlm.nih.gov/nucleotide/XM_003319999.2?report=genbank&amp;log$=nucltop&amp;blast_rank=58&amp;RID=2009AYK9013","XM_003319999.2")</f>
        <v>XM_003319999.2</v>
      </c>
    </row>
    <row r="737" spans="1:7" x14ac:dyDescent="0.35">
      <c r="A737" t="s">
        <v>436</v>
      </c>
      <c r="B737">
        <v>184</v>
      </c>
      <c r="C737">
        <v>184</v>
      </c>
      <c r="D737" s="2">
        <v>0.43</v>
      </c>
      <c r="E737" s="3">
        <v>3.9999999999999999E-47</v>
      </c>
      <c r="F737">
        <v>43.64</v>
      </c>
      <c r="G737" t="str">
        <f>HYPERLINK("https://www.ncbi.nlm.nih.gov/nucleotide/XM_003337970.2?report=genbank&amp;log$=nucltop&amp;blast_rank=59&amp;RID=2009AYK9013","XM_003337970.2")</f>
        <v>XM_003337970.2</v>
      </c>
    </row>
    <row r="738" spans="1:7" x14ac:dyDescent="0.35">
      <c r="A738" t="s">
        <v>326</v>
      </c>
      <c r="B738">
        <v>182</v>
      </c>
      <c r="C738">
        <v>182</v>
      </c>
      <c r="D738" s="2">
        <v>0.42</v>
      </c>
      <c r="E738" s="3">
        <v>5.0000000000000001E-47</v>
      </c>
      <c r="F738">
        <v>43.32</v>
      </c>
      <c r="G738" t="str">
        <f>HYPERLINK("https://www.ncbi.nlm.nih.gov/nucleotide/XM_014715922.1?report=genbank&amp;log$=nucltop&amp;blast_rank=60&amp;RID=2009AYK9013","XM_014715922.1")</f>
        <v>XM_014715922.1</v>
      </c>
    </row>
    <row r="739" spans="1:7" x14ac:dyDescent="0.35">
      <c r="A739" t="s">
        <v>425</v>
      </c>
      <c r="B739">
        <v>176</v>
      </c>
      <c r="C739">
        <v>176</v>
      </c>
      <c r="D739" s="2">
        <v>0.43</v>
      </c>
      <c r="E739" s="3">
        <v>6.0000000000000002E-45</v>
      </c>
      <c r="F739">
        <v>43.05</v>
      </c>
      <c r="G739" t="str">
        <f>HYPERLINK("https://www.ncbi.nlm.nih.gov/nucleotide/XM_025521609.1?report=genbank&amp;log$=nucltop&amp;blast_rank=61&amp;RID=2009AYK9013","XM_025521609.1")</f>
        <v>XM_025521609.1</v>
      </c>
    </row>
    <row r="740" spans="1:7" x14ac:dyDescent="0.35">
      <c r="A740" t="s">
        <v>431</v>
      </c>
      <c r="B740">
        <v>181</v>
      </c>
      <c r="C740">
        <v>181</v>
      </c>
      <c r="D740" s="2">
        <v>0.43</v>
      </c>
      <c r="E740" s="3">
        <v>1E-46</v>
      </c>
      <c r="F740">
        <v>42.41</v>
      </c>
      <c r="G740" t="str">
        <f>HYPERLINK("https://www.ncbi.nlm.nih.gov/nucleotide/XM_022012622.1?report=genbank&amp;log$=nucltop&amp;blast_rank=62&amp;RID=2009AYK9013","XM_022012622.1")</f>
        <v>XM_022012622.1</v>
      </c>
    </row>
    <row r="741" spans="1:7" x14ac:dyDescent="0.35">
      <c r="A741" t="s">
        <v>438</v>
      </c>
      <c r="B741">
        <v>177</v>
      </c>
      <c r="C741">
        <v>177</v>
      </c>
      <c r="D741" s="2">
        <v>0.43</v>
      </c>
      <c r="E741" s="3">
        <v>9E-46</v>
      </c>
      <c r="F741">
        <v>42.36</v>
      </c>
      <c r="G741" t="str">
        <f>HYPERLINK("https://www.ncbi.nlm.nih.gov/nucleotide/XM_025493523.1?report=genbank&amp;log$=nucltop&amp;blast_rank=63&amp;RID=2009AYK9013","XM_025493523.1")</f>
        <v>XM_025493523.1</v>
      </c>
    </row>
    <row r="742" spans="1:7" x14ac:dyDescent="0.35">
      <c r="A742" t="s">
        <v>441</v>
      </c>
      <c r="B742">
        <v>165</v>
      </c>
      <c r="C742">
        <v>165</v>
      </c>
      <c r="D742" s="2">
        <v>0.42</v>
      </c>
      <c r="E742" s="3">
        <v>4E-41</v>
      </c>
      <c r="F742">
        <v>42.18</v>
      </c>
      <c r="G742" t="str">
        <f>HYPERLINK("https://www.ncbi.nlm.nih.gov/nucleotide/XM_025745181.1?report=genbank&amp;log$=nucltop&amp;blast_rank=64&amp;RID=2009AYK9013","XM_025745181.1")</f>
        <v>XM_025745181.1</v>
      </c>
    </row>
    <row r="743" spans="1:7" x14ac:dyDescent="0.35">
      <c r="A743" t="s">
        <v>437</v>
      </c>
      <c r="B743">
        <v>171</v>
      </c>
      <c r="C743">
        <v>171</v>
      </c>
      <c r="D743" s="2">
        <v>0.43</v>
      </c>
      <c r="E743" s="3">
        <v>9E-46</v>
      </c>
      <c r="F743">
        <v>42.15</v>
      </c>
      <c r="G743" t="str">
        <f>HYPERLINK("https://www.ncbi.nlm.nih.gov/nucleotide/XM_028624687.1?report=genbank&amp;log$=nucltop&amp;blast_rank=65&amp;RID=2009AYK9013","XM_028624687.1")</f>
        <v>XM_028624687.1</v>
      </c>
    </row>
    <row r="744" spans="1:7" x14ac:dyDescent="0.35">
      <c r="A744" t="s">
        <v>440</v>
      </c>
      <c r="B744">
        <v>176</v>
      </c>
      <c r="C744">
        <v>176</v>
      </c>
      <c r="D744" s="2">
        <v>0.43</v>
      </c>
      <c r="E744" s="3">
        <v>3.0000000000000001E-45</v>
      </c>
      <c r="F744">
        <v>41.35</v>
      </c>
      <c r="G744" t="str">
        <f>HYPERLINK("https://www.ncbi.nlm.nih.gov/nucleotide/XM_007411685.1?report=genbank&amp;log$=nucltop&amp;blast_rank=66&amp;RID=2009AYK9013","XM_007411685.1")</f>
        <v>XM_007411685.1</v>
      </c>
    </row>
    <row r="745" spans="1:7" x14ac:dyDescent="0.35">
      <c r="A745" s="4" t="s">
        <v>433</v>
      </c>
      <c r="B745" s="4">
        <v>164</v>
      </c>
      <c r="C745" s="4">
        <v>164</v>
      </c>
      <c r="D745" s="5">
        <v>0.43</v>
      </c>
      <c r="E745" s="6">
        <v>3E-43</v>
      </c>
      <c r="F745" s="4">
        <v>41.15</v>
      </c>
      <c r="G745" s="4" t="str">
        <f>HYPERLINK("https://www.ncbi.nlm.nih.gov/nucleotide/XM_025496346.1?report=genbank&amp;log$=nucltop&amp;blast_rank=67&amp;RID=2009AYK9013","XM_025496346.1")</f>
        <v>XM_025496346.1</v>
      </c>
    </row>
    <row r="746" spans="1:7" x14ac:dyDescent="0.35">
      <c r="A746" s="4" t="s">
        <v>439</v>
      </c>
      <c r="B746" s="4">
        <v>179</v>
      </c>
      <c r="C746" s="4">
        <v>179</v>
      </c>
      <c r="D746" s="5">
        <v>0.43</v>
      </c>
      <c r="E746" s="6">
        <v>1E-46</v>
      </c>
      <c r="F746" s="4">
        <v>41.07</v>
      </c>
      <c r="G746" s="4" t="str">
        <f>HYPERLINK("https://www.ncbi.nlm.nih.gov/nucleotide/XM_016417699.1?report=genbank&amp;log$=nucltop&amp;blast_rank=68&amp;RID=2009AYK9013","XM_016417699.1")</f>
        <v>XM_016417699.1</v>
      </c>
    </row>
    <row r="747" spans="1:7" x14ac:dyDescent="0.35">
      <c r="A747" t="s">
        <v>442</v>
      </c>
      <c r="B747">
        <v>183</v>
      </c>
      <c r="C747">
        <v>183</v>
      </c>
      <c r="D747" s="2">
        <v>0.43</v>
      </c>
      <c r="E747" s="3">
        <v>1E-46</v>
      </c>
      <c r="F747">
        <v>40.69</v>
      </c>
      <c r="G747" t="str">
        <f>HYPERLINK("https://www.ncbi.nlm.nih.gov/nucleotide/XM_025513131.1?report=genbank&amp;log$=nucltop&amp;blast_rank=69&amp;RID=2009AYK9013","XM_025513131.1")</f>
        <v>XM_025513131.1</v>
      </c>
    </row>
    <row r="748" spans="1:7" x14ac:dyDescent="0.35">
      <c r="A748" t="s">
        <v>1230</v>
      </c>
      <c r="B748">
        <v>158</v>
      </c>
      <c r="C748">
        <v>158</v>
      </c>
      <c r="D748" s="2">
        <v>0.39</v>
      </c>
      <c r="E748" s="3">
        <v>7E-39</v>
      </c>
      <c r="F748">
        <v>39.17</v>
      </c>
      <c r="G748" t="str">
        <f>HYPERLINK("https://www.ncbi.nlm.nih.gov/nucleotide/XM_018418427.1?report=genbank&amp;log$=nucltop&amp;blast_rank=70&amp;RID=2009AYK9013","XM_018418427.1")</f>
        <v>XM_018418427.1</v>
      </c>
    </row>
    <row r="749" spans="1:7" x14ac:dyDescent="0.35">
      <c r="A749" t="s">
        <v>444</v>
      </c>
      <c r="B749">
        <v>159</v>
      </c>
      <c r="C749">
        <v>159</v>
      </c>
      <c r="D749" s="2">
        <v>0.43</v>
      </c>
      <c r="E749" s="3">
        <v>1.9999999999999999E-38</v>
      </c>
      <c r="F749">
        <v>37.67</v>
      </c>
      <c r="G749" t="str">
        <f>HYPERLINK("https://www.ncbi.nlm.nih.gov/nucleotide/XM_018369006.1?report=genbank&amp;log$=nucltop&amp;blast_rank=71&amp;RID=2009AYK9013","XM_018369006.1")</f>
        <v>XM_018369006.1</v>
      </c>
    </row>
    <row r="750" spans="1:7" x14ac:dyDescent="0.35">
      <c r="A750" t="s">
        <v>443</v>
      </c>
      <c r="B750">
        <v>159</v>
      </c>
      <c r="C750">
        <v>159</v>
      </c>
      <c r="D750" s="2">
        <v>0.43</v>
      </c>
      <c r="E750" s="3">
        <v>2.9999999999999999E-38</v>
      </c>
      <c r="F750">
        <v>37.21</v>
      </c>
      <c r="G750" t="str">
        <f>HYPERLINK("https://www.ncbi.nlm.nih.gov/nucleotide/XM_007874156.1?report=genbank&amp;log$=nucltop&amp;blast_rank=72&amp;RID=2009AYK9013","XM_007874156.1")</f>
        <v>XM_007874156.1</v>
      </c>
    </row>
    <row r="751" spans="1:7" x14ac:dyDescent="0.35">
      <c r="A751" t="s">
        <v>1231</v>
      </c>
      <c r="B751">
        <v>137</v>
      </c>
      <c r="C751">
        <v>137</v>
      </c>
      <c r="D751" s="2">
        <v>0.42</v>
      </c>
      <c r="E751" s="3">
        <v>1.0000000000000001E-33</v>
      </c>
      <c r="F751">
        <v>35.68</v>
      </c>
      <c r="G751" t="str">
        <f>HYPERLINK("https://www.ncbi.nlm.nih.gov/nucleotide/XM_018428973.1?report=genbank&amp;log$=nucltop&amp;blast_rank=73&amp;RID=2009AYK9013","XM_018428973.1")</f>
        <v>XM_018428973.1</v>
      </c>
    </row>
    <row r="752" spans="1:7" x14ac:dyDescent="0.35">
      <c r="A752" t="s">
        <v>445</v>
      </c>
      <c r="B752">
        <v>153</v>
      </c>
      <c r="C752">
        <v>153</v>
      </c>
      <c r="D752" s="2">
        <v>0.43</v>
      </c>
      <c r="E752" s="3">
        <v>7.0000000000000003E-37</v>
      </c>
      <c r="F752">
        <v>35.590000000000003</v>
      </c>
      <c r="G752" t="str">
        <f>HYPERLINK("https://www.ncbi.nlm.nih.gov/nucleotide/XM_022027061.1?report=genbank&amp;log$=nucltop&amp;blast_rank=74&amp;RID=2009AYK9013","XM_022027061.1")</f>
        <v>XM_022027061.1</v>
      </c>
    </row>
    <row r="753" spans="1:7" x14ac:dyDescent="0.35">
      <c r="A753" t="s">
        <v>754</v>
      </c>
      <c r="B753">
        <v>139</v>
      </c>
      <c r="C753">
        <v>139</v>
      </c>
      <c r="D753" s="2">
        <v>0.42</v>
      </c>
      <c r="E753" s="3">
        <v>2.9999999999999998E-31</v>
      </c>
      <c r="F753">
        <v>35.51</v>
      </c>
      <c r="G753" t="str">
        <f>HYPERLINK("https://www.ncbi.nlm.nih.gov/nucleotide/XM_029032634.1?report=genbank&amp;log$=nucltop&amp;blast_rank=75&amp;RID=2009AYK9013","XM_029032634.1")</f>
        <v>XM_029032634.1</v>
      </c>
    </row>
    <row r="754" spans="1:7" x14ac:dyDescent="0.35">
      <c r="A754" t="s">
        <v>462</v>
      </c>
      <c r="B754">
        <v>142</v>
      </c>
      <c r="C754">
        <v>142</v>
      </c>
      <c r="D754" s="2">
        <v>0.43</v>
      </c>
      <c r="E754" s="3">
        <v>1.0000000000000001E-31</v>
      </c>
      <c r="F754">
        <v>35.159999999999997</v>
      </c>
      <c r="G754" t="str">
        <f>HYPERLINK("https://www.ncbi.nlm.nih.gov/nucleotide/CP050654.1?report=genbank&amp;log$=nucltop&amp;blast_rank=76&amp;RID=2009AYK9013","CP050654.1")</f>
        <v>CP050654.1</v>
      </c>
    </row>
    <row r="755" spans="1:7" x14ac:dyDescent="0.35">
      <c r="A755" t="s">
        <v>463</v>
      </c>
      <c r="B755">
        <v>142</v>
      </c>
      <c r="C755">
        <v>142</v>
      </c>
      <c r="D755" s="2">
        <v>0.43</v>
      </c>
      <c r="E755" s="3">
        <v>1.0000000000000001E-31</v>
      </c>
      <c r="F755">
        <v>35.159999999999997</v>
      </c>
      <c r="G755" t="str">
        <f>HYPERLINK("https://www.ncbi.nlm.nih.gov/nucleotide/CP050668.1?report=genbank&amp;log$=nucltop&amp;blast_rank=77&amp;RID=2009AYK9013","CP050668.1")</f>
        <v>CP050668.1</v>
      </c>
    </row>
    <row r="756" spans="1:7" x14ac:dyDescent="0.35">
      <c r="A756" t="s">
        <v>1232</v>
      </c>
      <c r="B756">
        <v>142</v>
      </c>
      <c r="C756">
        <v>142</v>
      </c>
      <c r="D756" s="2">
        <v>0.43</v>
      </c>
      <c r="E756" s="3">
        <v>1.0000000000000001E-31</v>
      </c>
      <c r="F756">
        <v>35.159999999999997</v>
      </c>
      <c r="G756" t="str">
        <f>HYPERLINK("https://www.ncbi.nlm.nih.gov/nucleotide/CP060368.1?report=genbank&amp;log$=nucltop&amp;blast_rank=78&amp;RID=2009AYK9013","CP060368.1")</f>
        <v>CP060368.1</v>
      </c>
    </row>
    <row r="757" spans="1:7" x14ac:dyDescent="0.35">
      <c r="A757" t="s">
        <v>1233</v>
      </c>
      <c r="B757">
        <v>142</v>
      </c>
      <c r="C757">
        <v>142</v>
      </c>
      <c r="D757" s="2">
        <v>0.43</v>
      </c>
      <c r="E757" s="3">
        <v>1.0000000000000001E-31</v>
      </c>
      <c r="F757">
        <v>35.159999999999997</v>
      </c>
      <c r="G757" t="str">
        <f>HYPERLINK("https://www.ncbi.nlm.nih.gov/nucleotide/CP060347.1?report=genbank&amp;log$=nucltop&amp;blast_rank=79&amp;RID=2009AYK9013","CP060347.1")</f>
        <v>CP060347.1</v>
      </c>
    </row>
    <row r="758" spans="1:7" x14ac:dyDescent="0.35">
      <c r="A758" t="s">
        <v>464</v>
      </c>
      <c r="B758">
        <v>142</v>
      </c>
      <c r="C758">
        <v>142</v>
      </c>
      <c r="D758" s="2">
        <v>0.43</v>
      </c>
      <c r="E758" s="3">
        <v>1.0000000000000001E-31</v>
      </c>
      <c r="F758">
        <v>35.159999999999997</v>
      </c>
      <c r="G758" t="str">
        <f>HYPERLINK("https://www.ncbi.nlm.nih.gov/nucleotide/CP043443.1?report=genbank&amp;log$=nucltop&amp;blast_rank=80&amp;RID=2009AYK9013","CP043443.1")</f>
        <v>CP043443.1</v>
      </c>
    </row>
    <row r="759" spans="1:7" x14ac:dyDescent="0.35">
      <c r="A759" t="s">
        <v>465</v>
      </c>
      <c r="B759">
        <v>142</v>
      </c>
      <c r="C759">
        <v>142</v>
      </c>
      <c r="D759" s="2">
        <v>0.43</v>
      </c>
      <c r="E759" s="3">
        <v>1.0000000000000001E-31</v>
      </c>
      <c r="F759">
        <v>35.159999999999997</v>
      </c>
      <c r="G759" t="str">
        <f>HYPERLINK("https://www.ncbi.nlm.nih.gov/nucleotide/CP041136.1?report=genbank&amp;log$=nucltop&amp;blast_rank=81&amp;RID=2009AYK9013","CP041136.1")</f>
        <v>CP041136.1</v>
      </c>
    </row>
    <row r="760" spans="1:7" x14ac:dyDescent="0.35">
      <c r="A760" t="s">
        <v>1234</v>
      </c>
      <c r="B760">
        <v>142</v>
      </c>
      <c r="C760">
        <v>142</v>
      </c>
      <c r="D760" s="2">
        <v>0.43</v>
      </c>
      <c r="E760" s="3">
        <v>1.0000000000000001E-31</v>
      </c>
      <c r="F760">
        <v>35.159999999999997</v>
      </c>
      <c r="G760" t="str">
        <f>HYPERLINK("https://www.ncbi.nlm.nih.gov/nucleotide/CP060354.1?report=genbank&amp;log$=nucltop&amp;blast_rank=82&amp;RID=2009AYK9013","CP060354.1")</f>
        <v>CP060354.1</v>
      </c>
    </row>
    <row r="761" spans="1:7" x14ac:dyDescent="0.35">
      <c r="A761" t="s">
        <v>1235</v>
      </c>
      <c r="B761">
        <v>142</v>
      </c>
      <c r="C761">
        <v>142</v>
      </c>
      <c r="D761" s="2">
        <v>0.43</v>
      </c>
      <c r="E761" s="3">
        <v>1.0000000000000001E-31</v>
      </c>
      <c r="F761">
        <v>35.159999999999997</v>
      </c>
      <c r="G761" t="str">
        <f>HYPERLINK("https://www.ncbi.nlm.nih.gov/nucleotide/CP060361.1?report=genbank&amp;log$=nucltop&amp;blast_rank=83&amp;RID=2009AYK9013","CP060361.1")</f>
        <v>CP060361.1</v>
      </c>
    </row>
    <row r="762" spans="1:7" x14ac:dyDescent="0.35">
      <c r="A762" t="s">
        <v>466</v>
      </c>
      <c r="B762">
        <v>142</v>
      </c>
      <c r="C762">
        <v>142</v>
      </c>
      <c r="D762" s="2">
        <v>0.43</v>
      </c>
      <c r="E762" s="3">
        <v>1.0000000000000001E-31</v>
      </c>
      <c r="F762">
        <v>35.159999999999997</v>
      </c>
      <c r="G762" t="str">
        <f>HYPERLINK("https://www.ncbi.nlm.nih.gov/nucleotide/CP061160.1?report=genbank&amp;log$=nucltop&amp;blast_rank=84&amp;RID=2009AYK9013","CP061160.1")</f>
        <v>CP061160.1</v>
      </c>
    </row>
    <row r="763" spans="1:7" x14ac:dyDescent="0.35">
      <c r="A763" t="s">
        <v>906</v>
      </c>
      <c r="B763">
        <v>142</v>
      </c>
      <c r="C763">
        <v>142</v>
      </c>
      <c r="D763" s="2">
        <v>0.43</v>
      </c>
      <c r="E763" s="3">
        <v>1.0000000000000001E-31</v>
      </c>
      <c r="F763">
        <v>35.159999999999997</v>
      </c>
      <c r="G763" t="str">
        <f>HYPERLINK("https://www.ncbi.nlm.nih.gov/nucleotide/CP060340.1?report=genbank&amp;log$=nucltop&amp;blast_rank=85&amp;RID=2009AYK9013","CP060340.1")</f>
        <v>CP060340.1</v>
      </c>
    </row>
    <row r="764" spans="1:7" x14ac:dyDescent="0.35">
      <c r="A764" t="s">
        <v>907</v>
      </c>
      <c r="B764">
        <v>142</v>
      </c>
      <c r="C764">
        <v>142</v>
      </c>
      <c r="D764" s="2">
        <v>0.43</v>
      </c>
      <c r="E764" s="3">
        <v>1.0000000000000001E-31</v>
      </c>
      <c r="F764">
        <v>35.159999999999997</v>
      </c>
      <c r="G764" t="str">
        <f>HYPERLINK("https://www.ncbi.nlm.nih.gov/nucleotide/CP060375.1?report=genbank&amp;log$=nucltop&amp;blast_rank=86&amp;RID=2009AYK9013","CP060375.1")</f>
        <v>CP060375.1</v>
      </c>
    </row>
    <row r="765" spans="1:7" x14ac:dyDescent="0.35">
      <c r="A765" t="s">
        <v>454</v>
      </c>
      <c r="B765">
        <v>153</v>
      </c>
      <c r="C765">
        <v>153</v>
      </c>
      <c r="D765" s="2">
        <v>0.43</v>
      </c>
      <c r="E765" s="3">
        <v>1.9999999999999999E-36</v>
      </c>
      <c r="F765">
        <v>35.11</v>
      </c>
      <c r="G765" t="str">
        <f>HYPERLINK("https://www.ncbi.nlm.nih.gov/nucleotide/XM_025319938.1?report=genbank&amp;log$=nucltop&amp;blast_rank=87&amp;RID=2009AYK9013","XM_025319938.1")</f>
        <v>XM_025319938.1</v>
      </c>
    </row>
    <row r="766" spans="1:7" x14ac:dyDescent="0.35">
      <c r="A766" t="s">
        <v>457</v>
      </c>
      <c r="B766">
        <v>141</v>
      </c>
      <c r="C766">
        <v>141</v>
      </c>
      <c r="D766" s="2">
        <v>0.42</v>
      </c>
      <c r="E766" s="3">
        <v>5.0000000000000004E-32</v>
      </c>
      <c r="F766">
        <v>35.049999999999997</v>
      </c>
      <c r="G766" t="str">
        <f>HYPERLINK("https://www.ncbi.nlm.nih.gov/nucleotide/XM_025480965.1?report=genbank&amp;log$=nucltop&amp;blast_rank=88&amp;RID=2009AYK9013","XM_025480965.1")</f>
        <v>XM_025480965.1</v>
      </c>
    </row>
    <row r="767" spans="1:7" x14ac:dyDescent="0.35">
      <c r="A767" t="s">
        <v>446</v>
      </c>
      <c r="B767">
        <v>140</v>
      </c>
      <c r="C767">
        <v>140</v>
      </c>
      <c r="D767" s="2">
        <v>0.42</v>
      </c>
      <c r="E767" s="3">
        <v>1.0000000000000001E-31</v>
      </c>
      <c r="F767">
        <v>35.020000000000003</v>
      </c>
      <c r="G767" t="str">
        <f>HYPERLINK("https://www.ncbi.nlm.nih.gov/nucleotide/XM_031999984.1?report=genbank&amp;log$=nucltop&amp;blast_rank=89&amp;RID=2009AYK9013","XM_031999984.1")</f>
        <v>XM_031999984.1</v>
      </c>
    </row>
    <row r="768" spans="1:7" x14ac:dyDescent="0.35">
      <c r="A768" t="s">
        <v>456</v>
      </c>
      <c r="B768">
        <v>139</v>
      </c>
      <c r="C768">
        <v>139</v>
      </c>
      <c r="D768" s="2">
        <v>0.42</v>
      </c>
      <c r="E768" s="3">
        <v>2.0000000000000002E-31</v>
      </c>
      <c r="F768">
        <v>34.76</v>
      </c>
      <c r="G768" t="str">
        <f>HYPERLINK("https://www.ncbi.nlm.nih.gov/nucleotide/XM_024858447.1?report=genbank&amp;log$=nucltop&amp;blast_rank=90&amp;RID=2009AYK9013","XM_024858447.1")</f>
        <v>XM_024858447.1</v>
      </c>
    </row>
    <row r="769" spans="1:7" x14ac:dyDescent="0.35">
      <c r="A769" t="s">
        <v>981</v>
      </c>
      <c r="B769">
        <v>139</v>
      </c>
      <c r="C769">
        <v>139</v>
      </c>
      <c r="D769" s="2">
        <v>0.43</v>
      </c>
      <c r="E769" s="3">
        <v>1.0000000000000001E-30</v>
      </c>
      <c r="F769">
        <v>34.700000000000003</v>
      </c>
      <c r="G769" t="str">
        <f>HYPERLINK("https://www.ncbi.nlm.nih.gov/nucleotide/CP050661.1?report=genbank&amp;log$=nucltop&amp;blast_rank=91&amp;RID=2009AYK9013","CP050661.1")</f>
        <v>CP050661.1</v>
      </c>
    </row>
    <row r="770" spans="1:7" x14ac:dyDescent="0.35">
      <c r="A770" t="s">
        <v>982</v>
      </c>
      <c r="B770">
        <v>139</v>
      </c>
      <c r="C770">
        <v>139</v>
      </c>
      <c r="D770" s="2">
        <v>0.43</v>
      </c>
      <c r="E770" s="3">
        <v>1.0000000000000001E-30</v>
      </c>
      <c r="F770">
        <v>34.700000000000003</v>
      </c>
      <c r="G770" t="str">
        <f>HYPERLINK("https://www.ncbi.nlm.nih.gov/nucleotide/CP043533.1?report=genbank&amp;log$=nucltop&amp;blast_rank=92&amp;RID=2009AYK9013","CP043533.1")</f>
        <v>CP043533.1</v>
      </c>
    </row>
    <row r="771" spans="1:7" x14ac:dyDescent="0.35">
      <c r="A771" t="s">
        <v>746</v>
      </c>
      <c r="B771">
        <v>137</v>
      </c>
      <c r="C771">
        <v>137</v>
      </c>
      <c r="D771" s="2">
        <v>0.42</v>
      </c>
      <c r="E771" s="3">
        <v>1.0000000000000001E-30</v>
      </c>
      <c r="F771">
        <v>34.119999999999997</v>
      </c>
      <c r="G771" t="str">
        <f>HYPERLINK("https://www.ncbi.nlm.nih.gov/nucleotide/XM_501207.2?report=genbank&amp;log$=nucltop&amp;blast_rank=93&amp;RID=2009AYK9013","XM_501207.2")</f>
        <v>XM_501207.2</v>
      </c>
    </row>
    <row r="772" spans="1:7" x14ac:dyDescent="0.35">
      <c r="A772" t="s">
        <v>747</v>
      </c>
      <c r="B772">
        <v>138</v>
      </c>
      <c r="C772">
        <v>138</v>
      </c>
      <c r="D772" s="2">
        <v>0.42</v>
      </c>
      <c r="E772" s="3">
        <v>2.0000000000000002E-30</v>
      </c>
      <c r="F772">
        <v>34.119999999999997</v>
      </c>
      <c r="G772" t="str">
        <f>HYPERLINK("https://www.ncbi.nlm.nih.gov/nucleotide/CP028443.1?report=genbank&amp;log$=nucltop&amp;blast_rank=94&amp;RID=2009AYK9013","CP028443.1")</f>
        <v>CP028443.1</v>
      </c>
    </row>
    <row r="773" spans="1:7" x14ac:dyDescent="0.35">
      <c r="A773" t="s">
        <v>748</v>
      </c>
      <c r="B773">
        <v>138</v>
      </c>
      <c r="C773">
        <v>138</v>
      </c>
      <c r="D773" s="2">
        <v>0.42</v>
      </c>
      <c r="E773" s="3">
        <v>2.0000000000000002E-30</v>
      </c>
      <c r="F773">
        <v>34.119999999999997</v>
      </c>
      <c r="G773" t="str">
        <f>HYPERLINK("https://www.ncbi.nlm.nih.gov/nucleotide/CP028455.1?report=genbank&amp;log$=nucltop&amp;blast_rank=95&amp;RID=2009AYK9013","CP028455.1")</f>
        <v>CP028455.1</v>
      </c>
    </row>
    <row r="774" spans="1:7" x14ac:dyDescent="0.35">
      <c r="A774" t="s">
        <v>749</v>
      </c>
      <c r="B774">
        <v>138</v>
      </c>
      <c r="C774">
        <v>138</v>
      </c>
      <c r="D774" s="2">
        <v>0.42</v>
      </c>
      <c r="E774" s="3">
        <v>2.0000000000000002E-30</v>
      </c>
      <c r="F774">
        <v>34.119999999999997</v>
      </c>
      <c r="G774" t="str">
        <f>HYPERLINK("https://www.ncbi.nlm.nih.gov/nucleotide/HG934060.1?report=genbank&amp;log$=nucltop&amp;blast_rank=96&amp;RID=2009AYK9013","HG934060.1")</f>
        <v>HG934060.1</v>
      </c>
    </row>
    <row r="775" spans="1:7" x14ac:dyDescent="0.35">
      <c r="A775" t="s">
        <v>459</v>
      </c>
      <c r="B775">
        <v>136</v>
      </c>
      <c r="C775">
        <v>136</v>
      </c>
      <c r="D775" s="2">
        <v>0.42</v>
      </c>
      <c r="E775" s="3">
        <v>2.0000000000000002E-30</v>
      </c>
      <c r="F775">
        <v>34.11</v>
      </c>
      <c r="G775" t="str">
        <f>HYPERLINK("https://www.ncbi.nlm.nih.gov/nucleotide/XM_025485127.1?report=genbank&amp;log$=nucltop&amp;blast_rank=97&amp;RID=2009AYK9013","XM_025485127.1")</f>
        <v>XM_025485127.1</v>
      </c>
    </row>
    <row r="776" spans="1:7" x14ac:dyDescent="0.35">
      <c r="A776" t="s">
        <v>458</v>
      </c>
      <c r="B776">
        <v>140</v>
      </c>
      <c r="C776">
        <v>140</v>
      </c>
      <c r="D776" s="2">
        <v>0.42</v>
      </c>
      <c r="E776" s="3">
        <v>1.0000000000000001E-31</v>
      </c>
      <c r="F776">
        <v>33.799999999999997</v>
      </c>
      <c r="G776" t="str">
        <f>HYPERLINK("https://www.ncbi.nlm.nih.gov/nucleotide/XM_007373298.1?report=genbank&amp;log$=nucltop&amp;blast_rank=98&amp;RID=2009AYK9013","XM_007373298.1")</f>
        <v>XM_007373298.1</v>
      </c>
    </row>
    <row r="777" spans="1:7" x14ac:dyDescent="0.35">
      <c r="A777" s="4" t="s">
        <v>919</v>
      </c>
      <c r="B777" s="4">
        <v>158</v>
      </c>
      <c r="C777" s="4">
        <v>158</v>
      </c>
      <c r="D777" s="5">
        <v>0.43</v>
      </c>
      <c r="E777" s="6">
        <v>2.9999999999999999E-38</v>
      </c>
      <c r="F777" s="4">
        <v>33.630000000000003</v>
      </c>
      <c r="G777" s="4" t="str">
        <f>HYPERLINK("https://www.ncbi.nlm.nih.gov/nucleotide/XM_019168748.1?report=genbank&amp;log$=nucltop&amp;blast_rank=99&amp;RID=2009AYK9013","XM_019168748.1")</f>
        <v>XM_019168748.1</v>
      </c>
    </row>
    <row r="778" spans="1:7" x14ac:dyDescent="0.35">
      <c r="A778" t="s">
        <v>468</v>
      </c>
      <c r="B778">
        <v>137</v>
      </c>
      <c r="C778">
        <v>137</v>
      </c>
      <c r="D778" s="2">
        <v>0.42</v>
      </c>
      <c r="E778" s="3">
        <v>2.0000000000000002E-30</v>
      </c>
      <c r="F778">
        <v>32.71</v>
      </c>
      <c r="G778" t="str">
        <f>HYPERLINK("https://www.ncbi.nlm.nih.gov/nucleotide/XM_003870891.1?report=genbank&amp;log$=nucltop&amp;blast_rank=100&amp;RID=2009AYK9013","XM_003870891.1")</f>
        <v>XM_003870891.1</v>
      </c>
    </row>
    <row r="779" spans="1:7" x14ac:dyDescent="0.35">
      <c r="A779" s="1" t="s">
        <v>1236</v>
      </c>
    </row>
    <row r="780" spans="1:7" x14ac:dyDescent="0.35">
      <c r="A780" s="1" t="s">
        <v>2</v>
      </c>
      <c r="B780" s="1" t="s">
        <v>3</v>
      </c>
      <c r="C780" s="1" t="s">
        <v>4</v>
      </c>
      <c r="D780" s="1" t="s">
        <v>5</v>
      </c>
      <c r="E780" s="1" t="s">
        <v>6</v>
      </c>
      <c r="F780" s="1" t="s">
        <v>7</v>
      </c>
      <c r="G780" s="1" t="s">
        <v>8</v>
      </c>
    </row>
    <row r="781" spans="1:7" x14ac:dyDescent="0.35">
      <c r="A781" s="4" t="s">
        <v>286</v>
      </c>
      <c r="B781" s="4">
        <v>721</v>
      </c>
      <c r="C781" s="4">
        <v>721</v>
      </c>
      <c r="D781" s="5">
        <v>0.88</v>
      </c>
      <c r="E781" s="4">
        <v>0</v>
      </c>
      <c r="F781" s="4">
        <v>59.71</v>
      </c>
      <c r="G781" s="4" t="str">
        <f>HYPERLINK("https://www.ncbi.nlm.nih.gov/nucleotide/LR727269.1?report=genbank&amp;log$=nucltop&amp;blast_rank=1&amp;RID=200B0BVN013","LR727269.1")</f>
        <v>LR727269.1</v>
      </c>
    </row>
    <row r="782" spans="1:7" x14ac:dyDescent="0.35">
      <c r="A782" s="4" t="s">
        <v>290</v>
      </c>
      <c r="B782" s="4">
        <v>783</v>
      </c>
      <c r="C782" s="4">
        <v>783</v>
      </c>
      <c r="D782" s="5">
        <v>0.99</v>
      </c>
      <c r="E782" s="4">
        <v>0</v>
      </c>
      <c r="F782" s="4">
        <v>54.69</v>
      </c>
      <c r="G782" s="4" t="str">
        <f>HYPERLINK("https://www.ncbi.nlm.nih.gov/nucleotide/XM_027756926.1?report=genbank&amp;log$=nucltop&amp;blast_rank=2&amp;RID=200B0BVN013","XM_027756926.1")</f>
        <v>XM_027756926.1</v>
      </c>
    </row>
    <row r="783" spans="1:7" x14ac:dyDescent="0.35">
      <c r="A783" t="s">
        <v>288</v>
      </c>
      <c r="B783">
        <v>744</v>
      </c>
      <c r="C783">
        <v>744</v>
      </c>
      <c r="D783" s="2">
        <v>0.95</v>
      </c>
      <c r="E783">
        <v>0</v>
      </c>
      <c r="F783">
        <v>54.06</v>
      </c>
      <c r="G783" t="str">
        <f>HYPERLINK("https://www.ncbi.nlm.nih.gov/nucleotide/XM_036770581.1?report=genbank&amp;log$=nucltop&amp;blast_rank=3&amp;RID=200B0BVN013","XM_036770581.1")</f>
        <v>XM_036770581.1</v>
      </c>
    </row>
    <row r="784" spans="1:7" x14ac:dyDescent="0.35">
      <c r="A784" s="4" t="s">
        <v>289</v>
      </c>
      <c r="B784" s="4">
        <v>732</v>
      </c>
      <c r="C784" s="4">
        <v>732</v>
      </c>
      <c r="D784" s="5">
        <v>0.96</v>
      </c>
      <c r="E784" s="4">
        <v>0</v>
      </c>
      <c r="F784" s="4">
        <v>53.56</v>
      </c>
      <c r="G784" s="4" t="str">
        <f>HYPERLINK("https://www.ncbi.nlm.nih.gov/nucleotide/XM_027764248.1?report=genbank&amp;log$=nucltop&amp;blast_rank=4&amp;RID=200B0BVN013","XM_027764248.1")</f>
        <v>XM_027764248.1</v>
      </c>
    </row>
    <row r="785" spans="1:7" x14ac:dyDescent="0.35">
      <c r="A785" t="s">
        <v>297</v>
      </c>
      <c r="B785">
        <v>743</v>
      </c>
      <c r="C785">
        <v>743</v>
      </c>
      <c r="D785" s="2">
        <v>0.99</v>
      </c>
      <c r="E785">
        <v>0</v>
      </c>
      <c r="F785">
        <v>53.3</v>
      </c>
      <c r="G785" t="str">
        <f>HYPERLINK("https://www.ncbi.nlm.nih.gov/nucleotide/XM_007395394.1?report=genbank&amp;log$=nucltop&amp;blast_rank=5&amp;RID=200B0BVN013","XM_007395394.1")</f>
        <v>XM_007395394.1</v>
      </c>
    </row>
    <row r="786" spans="1:7" x14ac:dyDescent="0.35">
      <c r="A786" t="s">
        <v>21</v>
      </c>
      <c r="B786">
        <v>733</v>
      </c>
      <c r="C786">
        <v>733</v>
      </c>
      <c r="D786" s="2">
        <v>0.99</v>
      </c>
      <c r="E786">
        <v>0</v>
      </c>
      <c r="F786">
        <v>52.98</v>
      </c>
      <c r="G786" t="str">
        <f>HYPERLINK("https://www.ncbi.nlm.nih.gov/nucleotide/XM_009544599.1?report=genbank&amp;log$=nucltop&amp;blast_rank=6&amp;RID=200B0BVN013","XM_009544599.1")</f>
        <v>XM_009544599.1</v>
      </c>
    </row>
    <row r="787" spans="1:7" x14ac:dyDescent="0.35">
      <c r="A787" t="s">
        <v>285</v>
      </c>
      <c r="B787">
        <v>727</v>
      </c>
      <c r="C787">
        <v>727</v>
      </c>
      <c r="D787" s="2">
        <v>0.97</v>
      </c>
      <c r="E787">
        <v>0</v>
      </c>
      <c r="F787">
        <v>52.62</v>
      </c>
      <c r="G787" t="str">
        <f>HYPERLINK("https://www.ncbi.nlm.nih.gov/nucleotide/XM_007301254.1?report=genbank&amp;log$=nucltop&amp;blast_rank=7&amp;RID=200B0BVN013","XM_007301254.1")</f>
        <v>XM_007301254.1</v>
      </c>
    </row>
    <row r="788" spans="1:7" x14ac:dyDescent="0.35">
      <c r="A788" t="s">
        <v>294</v>
      </c>
      <c r="B788">
        <v>741</v>
      </c>
      <c r="C788">
        <v>741</v>
      </c>
      <c r="D788" s="2">
        <v>0.99</v>
      </c>
      <c r="E788">
        <v>0</v>
      </c>
      <c r="F788">
        <v>51.93</v>
      </c>
      <c r="G788" t="str">
        <f>HYPERLINK("https://www.ncbi.nlm.nih.gov/nucleotide/XM_007864801.1?report=genbank&amp;log$=nucltop&amp;blast_rank=8&amp;RID=200B0BVN013","XM_007864801.1")</f>
        <v>XM_007864801.1</v>
      </c>
    </row>
    <row r="789" spans="1:7" x14ac:dyDescent="0.35">
      <c r="A789" t="s">
        <v>298</v>
      </c>
      <c r="B789">
        <v>735</v>
      </c>
      <c r="C789">
        <v>735</v>
      </c>
      <c r="D789" s="2">
        <v>0.99</v>
      </c>
      <c r="E789">
        <v>0</v>
      </c>
      <c r="F789">
        <v>51.89</v>
      </c>
      <c r="G789" t="str">
        <f>HYPERLINK("https://www.ncbi.nlm.nih.gov/nucleotide/XM_001832964.1?report=genbank&amp;log$=nucltop&amp;blast_rank=9&amp;RID=200B0BVN013","XM_001832964.1")</f>
        <v>XM_001832964.1</v>
      </c>
    </row>
    <row r="790" spans="1:7" x14ac:dyDescent="0.35">
      <c r="A790" t="s">
        <v>1237</v>
      </c>
      <c r="B790">
        <v>672</v>
      </c>
      <c r="C790">
        <v>672</v>
      </c>
      <c r="D790" s="2">
        <v>0.88</v>
      </c>
      <c r="E790">
        <v>0</v>
      </c>
      <c r="F790">
        <v>51.8</v>
      </c>
      <c r="G790" t="str">
        <f>HYPERLINK("https://www.ncbi.nlm.nih.gov/nucleotide/XM_039058096.1?report=genbank&amp;log$=nucltop&amp;blast_rank=10&amp;RID=200B0BVN013","XM_039058096.1")</f>
        <v>XM_039058096.1</v>
      </c>
    </row>
    <row r="791" spans="1:7" x14ac:dyDescent="0.35">
      <c r="A791" t="s">
        <v>1075</v>
      </c>
      <c r="B791">
        <v>233</v>
      </c>
      <c r="C791">
        <v>730</v>
      </c>
      <c r="D791" s="2">
        <v>0.86</v>
      </c>
      <c r="E791" s="3">
        <v>8.0000000000000002E-180</v>
      </c>
      <c r="F791">
        <v>51.52</v>
      </c>
      <c r="G791" t="str">
        <f>HYPERLINK("https://www.ncbi.nlm.nih.gov/nucleotide/LR732077.1?report=genbank&amp;log$=nucltop&amp;blast_rank=11&amp;RID=200B0BVN013","LR732077.1")</f>
        <v>LR732077.1</v>
      </c>
    </row>
    <row r="792" spans="1:7" x14ac:dyDescent="0.35">
      <c r="A792" t="s">
        <v>299</v>
      </c>
      <c r="B792">
        <v>706</v>
      </c>
      <c r="C792">
        <v>706</v>
      </c>
      <c r="D792" s="2">
        <v>1</v>
      </c>
      <c r="E792">
        <v>0</v>
      </c>
      <c r="F792">
        <v>51.11</v>
      </c>
      <c r="G792" t="str">
        <f>HYPERLINK("https://www.ncbi.nlm.nih.gov/nucleotide/XM_007766373.1?report=genbank&amp;log$=nucltop&amp;blast_rank=12&amp;RID=200B0BVN013","XM_007766373.1")</f>
        <v>XM_007766373.1</v>
      </c>
    </row>
    <row r="793" spans="1:7" x14ac:dyDescent="0.35">
      <c r="A793" t="s">
        <v>300</v>
      </c>
      <c r="B793">
        <v>699</v>
      </c>
      <c r="C793">
        <v>699</v>
      </c>
      <c r="D793" s="2">
        <v>0.97</v>
      </c>
      <c r="E793">
        <v>0</v>
      </c>
      <c r="F793">
        <v>50.78</v>
      </c>
      <c r="G793" t="str">
        <f>HYPERLINK("https://www.ncbi.nlm.nih.gov/nucleotide/XM_007326500.1?report=genbank&amp;log$=nucltop&amp;blast_rank=13&amp;RID=200B0BVN013","XM_007326500.1")</f>
        <v>XM_007326500.1</v>
      </c>
    </row>
    <row r="794" spans="1:7" x14ac:dyDescent="0.35">
      <c r="A794" t="s">
        <v>301</v>
      </c>
      <c r="B794">
        <v>698</v>
      </c>
      <c r="C794">
        <v>698</v>
      </c>
      <c r="D794" s="2">
        <v>0.97</v>
      </c>
      <c r="E794">
        <v>0</v>
      </c>
      <c r="F794">
        <v>50.64</v>
      </c>
      <c r="G794" t="str">
        <f>HYPERLINK("https://www.ncbi.nlm.nih.gov/nucleotide/XM_006457968.1?report=genbank&amp;log$=nucltop&amp;blast_rank=14&amp;RID=200B0BVN013","XM_006457968.1")</f>
        <v>XM_006457968.1</v>
      </c>
    </row>
    <row r="795" spans="1:7" x14ac:dyDescent="0.35">
      <c r="A795" t="s">
        <v>303</v>
      </c>
      <c r="B795">
        <v>617</v>
      </c>
      <c r="C795">
        <v>617</v>
      </c>
      <c r="D795" s="2">
        <v>0.88</v>
      </c>
      <c r="E795">
        <v>0</v>
      </c>
      <c r="F795">
        <v>50.23</v>
      </c>
      <c r="G795" t="str">
        <f>HYPERLINK("https://www.ncbi.nlm.nih.gov/nucleotide/XM_016417291.1?report=genbank&amp;log$=nucltop&amp;blast_rank=15&amp;RID=200B0BVN013","XM_016417291.1")</f>
        <v>XM_016417291.1</v>
      </c>
    </row>
    <row r="796" spans="1:7" x14ac:dyDescent="0.35">
      <c r="A796" t="s">
        <v>185</v>
      </c>
      <c r="B796">
        <v>627</v>
      </c>
      <c r="C796">
        <v>627</v>
      </c>
      <c r="D796" s="2">
        <v>0.88</v>
      </c>
      <c r="E796">
        <v>0</v>
      </c>
      <c r="F796">
        <v>49.92</v>
      </c>
      <c r="G796" t="str">
        <f>HYPERLINK("https://www.ncbi.nlm.nih.gov/nucleotide/XM_007881850.1?report=genbank&amp;log$=nucltop&amp;blast_rank=16&amp;RID=200B0BVN013","XM_007881850.1")</f>
        <v>XM_007881850.1</v>
      </c>
    </row>
    <row r="797" spans="1:7" x14ac:dyDescent="0.35">
      <c r="A797" t="s">
        <v>312</v>
      </c>
      <c r="B797">
        <v>622</v>
      </c>
      <c r="C797">
        <v>622</v>
      </c>
      <c r="D797" s="2">
        <v>0.87</v>
      </c>
      <c r="E797">
        <v>0</v>
      </c>
      <c r="F797">
        <v>49.85</v>
      </c>
      <c r="G797" t="str">
        <f>HYPERLINK("https://www.ncbi.nlm.nih.gov/nucleotide/XM_018418282.1?report=genbank&amp;log$=nucltop&amp;blast_rank=17&amp;RID=200B0BVN013","XM_018418282.1")</f>
        <v>XM_018418282.1</v>
      </c>
    </row>
    <row r="798" spans="1:7" x14ac:dyDescent="0.35">
      <c r="A798" t="s">
        <v>306</v>
      </c>
      <c r="B798">
        <v>621</v>
      </c>
      <c r="C798">
        <v>621</v>
      </c>
      <c r="D798" s="2">
        <v>0.88</v>
      </c>
      <c r="E798">
        <v>0</v>
      </c>
      <c r="F798">
        <v>49.61</v>
      </c>
      <c r="G798" t="str">
        <f>HYPERLINK("https://www.ncbi.nlm.nih.gov/nucleotide/LT795070.1?report=genbank&amp;log$=nucltop&amp;blast_rank=18&amp;RID=200B0BVN013","LT795070.1")</f>
        <v>LT795070.1</v>
      </c>
    </row>
    <row r="799" spans="1:7" x14ac:dyDescent="0.35">
      <c r="A799" t="s">
        <v>331</v>
      </c>
      <c r="B799">
        <v>610</v>
      </c>
      <c r="C799">
        <v>610</v>
      </c>
      <c r="D799" s="2">
        <v>0.88</v>
      </c>
      <c r="E799">
        <v>0</v>
      </c>
      <c r="F799">
        <v>49.61</v>
      </c>
      <c r="G799" t="str">
        <f>HYPERLINK("https://www.ncbi.nlm.nih.gov/nucleotide/XM_025313188.1?report=genbank&amp;log$=nucltop&amp;blast_rank=19&amp;RID=200B0BVN013","XM_025313188.1")</f>
        <v>XM_025313188.1</v>
      </c>
    </row>
    <row r="800" spans="1:7" x14ac:dyDescent="0.35">
      <c r="A800" t="s">
        <v>307</v>
      </c>
      <c r="B800">
        <v>618</v>
      </c>
      <c r="C800">
        <v>618</v>
      </c>
      <c r="D800" s="2">
        <v>0.88</v>
      </c>
      <c r="E800">
        <v>0</v>
      </c>
      <c r="F800">
        <v>49.29</v>
      </c>
      <c r="G800" t="str">
        <f>HYPERLINK("https://www.ncbi.nlm.nih.gov/nucleotide/FQ311438.1?report=genbank&amp;log$=nucltop&amp;blast_rank=20&amp;RID=200B0BVN013","FQ311438.1")</f>
        <v>FQ311438.1</v>
      </c>
    </row>
    <row r="801" spans="1:7" x14ac:dyDescent="0.35">
      <c r="A801" t="s">
        <v>310</v>
      </c>
      <c r="B801">
        <v>619</v>
      </c>
      <c r="C801">
        <v>619</v>
      </c>
      <c r="D801" s="2">
        <v>0.88</v>
      </c>
      <c r="E801">
        <v>0</v>
      </c>
      <c r="F801">
        <v>49.05</v>
      </c>
      <c r="G801" t="str">
        <f>HYPERLINK("https://www.ncbi.nlm.nih.gov/nucleotide/XM_029880993.1?report=genbank&amp;log$=nucltop&amp;blast_rank=21&amp;RID=200B0BVN013","XM_029880993.1")</f>
        <v>XM_029880993.1</v>
      </c>
    </row>
    <row r="802" spans="1:7" x14ac:dyDescent="0.35">
      <c r="A802" t="s">
        <v>172</v>
      </c>
      <c r="B802">
        <v>616</v>
      </c>
      <c r="C802">
        <v>616</v>
      </c>
      <c r="D802" s="2">
        <v>0.88</v>
      </c>
      <c r="E802">
        <v>0</v>
      </c>
      <c r="F802">
        <v>48.97</v>
      </c>
      <c r="G802" t="str">
        <f>HYPERLINK("https://www.ncbi.nlm.nih.gov/nucleotide/LK056654.1?report=genbank&amp;log$=nucltop&amp;blast_rank=22&amp;RID=200B0BVN013","LK056654.1")</f>
        <v>LK056654.1</v>
      </c>
    </row>
    <row r="803" spans="1:7" x14ac:dyDescent="0.35">
      <c r="A803" t="s">
        <v>173</v>
      </c>
      <c r="B803">
        <v>616</v>
      </c>
      <c r="C803">
        <v>616</v>
      </c>
      <c r="D803" s="2">
        <v>0.88</v>
      </c>
      <c r="E803">
        <v>0</v>
      </c>
      <c r="F803">
        <v>48.97</v>
      </c>
      <c r="G803" t="str">
        <f>HYPERLINK("https://www.ncbi.nlm.nih.gov/nucleotide/CP010920.1?report=genbank&amp;log$=nucltop&amp;blast_rank=23&amp;RID=200B0BVN013","CP010920.1")</f>
        <v>CP010920.1</v>
      </c>
    </row>
    <row r="804" spans="1:7" x14ac:dyDescent="0.35">
      <c r="A804" t="s">
        <v>330</v>
      </c>
      <c r="B804">
        <v>668</v>
      </c>
      <c r="C804">
        <v>668</v>
      </c>
      <c r="D804" s="2">
        <v>0.99</v>
      </c>
      <c r="E804">
        <v>0</v>
      </c>
      <c r="F804">
        <v>48.97</v>
      </c>
      <c r="G804" t="str">
        <f>HYPERLINK("https://www.ncbi.nlm.nih.gov/nucleotide/XM_007271215.1?report=genbank&amp;log$=nucltop&amp;blast_rank=24&amp;RID=200B0BVN013","XM_007271215.1")</f>
        <v>XM_007271215.1</v>
      </c>
    </row>
    <row r="805" spans="1:7" x14ac:dyDescent="0.35">
      <c r="A805" t="s">
        <v>311</v>
      </c>
      <c r="B805">
        <v>618</v>
      </c>
      <c r="C805">
        <v>618</v>
      </c>
      <c r="D805" s="2">
        <v>0.88</v>
      </c>
      <c r="E805">
        <v>0</v>
      </c>
      <c r="F805">
        <v>48.9</v>
      </c>
      <c r="G805" t="str">
        <f>HYPERLINK("https://www.ncbi.nlm.nih.gov/nucleotide/CP060314.1?report=genbank&amp;log$=nucltop&amp;blast_rank=25&amp;RID=200B0BVN013","CP060314.1")</f>
        <v>CP060314.1</v>
      </c>
    </row>
    <row r="806" spans="1:7" x14ac:dyDescent="0.35">
      <c r="A806" t="s">
        <v>345</v>
      </c>
      <c r="B806">
        <v>606</v>
      </c>
      <c r="C806">
        <v>606</v>
      </c>
      <c r="D806" s="2">
        <v>0.87</v>
      </c>
      <c r="E806">
        <v>0</v>
      </c>
      <c r="F806">
        <v>48.81</v>
      </c>
      <c r="G806" t="str">
        <f>HYPERLINK("https://www.ncbi.nlm.nih.gov/nucleotide/LT671819.1?report=genbank&amp;log$=nucltop&amp;blast_rank=26&amp;RID=200B0BVN013","LT671819.1")</f>
        <v>LT671819.1</v>
      </c>
    </row>
    <row r="807" spans="1:7" x14ac:dyDescent="0.35">
      <c r="A807" t="s">
        <v>346</v>
      </c>
      <c r="B807">
        <v>606</v>
      </c>
      <c r="C807">
        <v>606</v>
      </c>
      <c r="D807" s="2">
        <v>0.87</v>
      </c>
      <c r="E807">
        <v>0</v>
      </c>
      <c r="F807">
        <v>48.81</v>
      </c>
      <c r="G807" t="str">
        <f>HYPERLINK("https://www.ncbi.nlm.nih.gov/nucleotide/XM_018885014.1?report=genbank&amp;log$=nucltop&amp;blast_rank=27&amp;RID=200B0BVN013","XM_018885014.1")</f>
        <v>XM_018885014.1</v>
      </c>
    </row>
    <row r="808" spans="1:7" x14ac:dyDescent="0.35">
      <c r="A808" t="s">
        <v>347</v>
      </c>
      <c r="B808">
        <v>605</v>
      </c>
      <c r="C808">
        <v>605</v>
      </c>
      <c r="D808" s="2">
        <v>0.87</v>
      </c>
      <c r="E808">
        <v>0</v>
      </c>
      <c r="F808">
        <v>48.81</v>
      </c>
      <c r="G808" t="str">
        <f>HYPERLINK("https://www.ncbi.nlm.nih.gov/nucleotide/LT671827.1?report=genbank&amp;log$=nucltop&amp;blast_rank=28&amp;RID=200B0BVN013","LT671827.1")</f>
        <v>LT671827.1</v>
      </c>
    </row>
    <row r="809" spans="1:7" x14ac:dyDescent="0.35">
      <c r="A809" t="s">
        <v>348</v>
      </c>
      <c r="B809">
        <v>605</v>
      </c>
      <c r="C809">
        <v>605</v>
      </c>
      <c r="D809" s="2">
        <v>0.87</v>
      </c>
      <c r="E809">
        <v>0</v>
      </c>
      <c r="F809">
        <v>48.81</v>
      </c>
      <c r="G809" t="str">
        <f>HYPERLINK("https://www.ncbi.nlm.nih.gov/nucleotide/LT671811.1?report=genbank&amp;log$=nucltop&amp;blast_rank=29&amp;RID=200B0BVN013","LT671811.1")</f>
        <v>LT671811.1</v>
      </c>
    </row>
    <row r="810" spans="1:7" x14ac:dyDescent="0.35">
      <c r="A810" t="s">
        <v>349</v>
      </c>
      <c r="B810">
        <v>605</v>
      </c>
      <c r="C810">
        <v>605</v>
      </c>
      <c r="D810" s="2">
        <v>0.87</v>
      </c>
      <c r="E810">
        <v>0</v>
      </c>
      <c r="F810">
        <v>48.81</v>
      </c>
      <c r="G810" t="str">
        <f>HYPERLINK("https://www.ncbi.nlm.nih.gov/nucleotide/LT671803.1?report=genbank&amp;log$=nucltop&amp;blast_rank=30&amp;RID=200B0BVN013","LT671803.1")</f>
        <v>LT671803.1</v>
      </c>
    </row>
    <row r="811" spans="1:7" x14ac:dyDescent="0.35">
      <c r="A811" t="s">
        <v>350</v>
      </c>
      <c r="B811">
        <v>605</v>
      </c>
      <c r="C811">
        <v>605</v>
      </c>
      <c r="D811" s="2">
        <v>0.87</v>
      </c>
      <c r="E811">
        <v>0</v>
      </c>
      <c r="F811">
        <v>48.81</v>
      </c>
      <c r="G811" t="str">
        <f>HYPERLINK("https://www.ncbi.nlm.nih.gov/nucleotide/LT671795.1?report=genbank&amp;log$=nucltop&amp;blast_rank=31&amp;RID=200B0BVN013","LT671795.1")</f>
        <v>LT671795.1</v>
      </c>
    </row>
    <row r="812" spans="1:7" x14ac:dyDescent="0.35">
      <c r="A812" t="s">
        <v>326</v>
      </c>
      <c r="B812">
        <v>622</v>
      </c>
      <c r="C812">
        <v>622</v>
      </c>
      <c r="D812" s="2">
        <v>0.87</v>
      </c>
      <c r="E812">
        <v>0</v>
      </c>
      <c r="F812">
        <v>48.67</v>
      </c>
      <c r="G812" t="str">
        <f>HYPERLINK("https://www.ncbi.nlm.nih.gov/nucleotide/XM_014711481.1?report=genbank&amp;log$=nucltop&amp;blast_rank=32&amp;RID=200B0BVN013","XM_014711481.1")</f>
        <v>XM_014711481.1</v>
      </c>
    </row>
    <row r="813" spans="1:7" x14ac:dyDescent="0.35">
      <c r="A813" t="s">
        <v>333</v>
      </c>
      <c r="B813">
        <v>593</v>
      </c>
      <c r="C813">
        <v>593</v>
      </c>
      <c r="D813" s="2">
        <v>0.87</v>
      </c>
      <c r="E813">
        <v>0</v>
      </c>
      <c r="F813">
        <v>48.64</v>
      </c>
      <c r="G813" t="str">
        <f>HYPERLINK("https://www.ncbi.nlm.nih.gov/nucleotide/XM_002841174.1?report=genbank&amp;log$=nucltop&amp;blast_rank=33&amp;RID=200B0BVN013","XM_002841174.1")</f>
        <v>XM_002841174.1</v>
      </c>
    </row>
    <row r="814" spans="1:7" x14ac:dyDescent="0.35">
      <c r="A814" t="s">
        <v>309</v>
      </c>
      <c r="B814">
        <v>618</v>
      </c>
      <c r="C814">
        <v>618</v>
      </c>
      <c r="D814" s="2">
        <v>0.88</v>
      </c>
      <c r="E814">
        <v>0</v>
      </c>
      <c r="F814">
        <v>48.58</v>
      </c>
      <c r="G814" t="str">
        <f>HYPERLINK("https://www.ncbi.nlm.nih.gov/nucleotide/XM_012336565.1?report=genbank&amp;log$=nucltop&amp;blast_rank=34&amp;RID=200B0BVN013","XM_012336565.1")</f>
        <v>XM_012336565.1</v>
      </c>
    </row>
    <row r="815" spans="1:7" x14ac:dyDescent="0.35">
      <c r="A815" t="s">
        <v>323</v>
      </c>
      <c r="B815">
        <v>587</v>
      </c>
      <c r="C815">
        <v>587</v>
      </c>
      <c r="D815" s="2">
        <v>0.87</v>
      </c>
      <c r="E815">
        <v>0</v>
      </c>
      <c r="F815">
        <v>48.34</v>
      </c>
      <c r="G815" t="str">
        <f>HYPERLINK("https://www.ncbi.nlm.nih.gov/nucleotide/XM_023236763.1?report=genbank&amp;log$=nucltop&amp;blast_rank=35&amp;RID=200B0BVN013","XM_023236763.1")</f>
        <v>XM_023236763.1</v>
      </c>
    </row>
    <row r="816" spans="1:7" x14ac:dyDescent="0.35">
      <c r="A816" t="s">
        <v>327</v>
      </c>
      <c r="B816">
        <v>605</v>
      </c>
      <c r="C816">
        <v>605</v>
      </c>
      <c r="D816" s="2">
        <v>0.87</v>
      </c>
      <c r="E816">
        <v>0</v>
      </c>
      <c r="F816">
        <v>48.33</v>
      </c>
      <c r="G816" t="str">
        <f>HYPERLINK("https://www.ncbi.nlm.nih.gov/nucleotide/XM_018138661.1?report=genbank&amp;log$=nucltop&amp;blast_rank=36&amp;RID=200B0BVN013","XM_018138661.1")</f>
        <v>XM_018138661.1</v>
      </c>
    </row>
    <row r="817" spans="1:7" x14ac:dyDescent="0.35">
      <c r="A817" t="s">
        <v>325</v>
      </c>
      <c r="B817">
        <v>587</v>
      </c>
      <c r="C817">
        <v>587</v>
      </c>
      <c r="D817" s="2">
        <v>0.87</v>
      </c>
      <c r="E817">
        <v>0</v>
      </c>
      <c r="F817">
        <v>48.25</v>
      </c>
      <c r="G817" t="str">
        <f>HYPERLINK("https://www.ncbi.nlm.nih.gov/nucleotide/XM_022724697.1?report=genbank&amp;log$=nucltop&amp;blast_rank=37&amp;RID=200B0BVN013","XM_022724697.1")</f>
        <v>XM_022724697.1</v>
      </c>
    </row>
    <row r="818" spans="1:7" x14ac:dyDescent="0.35">
      <c r="A818" t="s">
        <v>1238</v>
      </c>
      <c r="B818">
        <v>560</v>
      </c>
      <c r="C818">
        <v>560</v>
      </c>
      <c r="D818" s="2">
        <v>0.87</v>
      </c>
      <c r="E818">
        <v>0</v>
      </c>
      <c r="F818">
        <v>48.25</v>
      </c>
      <c r="G818" t="str">
        <f>HYPERLINK("https://www.ncbi.nlm.nih.gov/nucleotide/XM_001266177.1?report=genbank&amp;log$=nucltop&amp;blast_rank=38&amp;RID=200B0BVN013","XM_001266177.1")</f>
        <v>XM_001266177.1</v>
      </c>
    </row>
    <row r="819" spans="1:7" x14ac:dyDescent="0.35">
      <c r="A819" t="s">
        <v>313</v>
      </c>
      <c r="B819">
        <v>596</v>
      </c>
      <c r="C819">
        <v>596</v>
      </c>
      <c r="D819" s="2">
        <v>0.87</v>
      </c>
      <c r="E819">
        <v>0</v>
      </c>
      <c r="F819">
        <v>48.17</v>
      </c>
      <c r="G819" t="str">
        <f>HYPERLINK("https://www.ncbi.nlm.nih.gov/nucleotide/CP046439.1?report=genbank&amp;log$=nucltop&amp;blast_rank=39&amp;RID=200B0BVN013","CP046439.1")</f>
        <v>CP046439.1</v>
      </c>
    </row>
    <row r="820" spans="1:7" x14ac:dyDescent="0.35">
      <c r="A820" t="s">
        <v>314</v>
      </c>
      <c r="B820">
        <v>595</v>
      </c>
      <c r="C820">
        <v>595</v>
      </c>
      <c r="D820" s="2">
        <v>0.87</v>
      </c>
      <c r="E820">
        <v>0</v>
      </c>
      <c r="F820">
        <v>48.17</v>
      </c>
      <c r="G820" t="str">
        <f>HYPERLINK("https://www.ncbi.nlm.nih.gov/nucleotide/XM_001729718.1?report=genbank&amp;log$=nucltop&amp;blast_rank=40&amp;RID=200B0BVN013","XM_001729718.1")</f>
        <v>XM_001729718.1</v>
      </c>
    </row>
    <row r="821" spans="1:7" x14ac:dyDescent="0.35">
      <c r="A821" t="s">
        <v>1239</v>
      </c>
      <c r="B821">
        <v>558</v>
      </c>
      <c r="C821">
        <v>558</v>
      </c>
      <c r="D821" s="2">
        <v>0.87</v>
      </c>
      <c r="E821">
        <v>0</v>
      </c>
      <c r="F821">
        <v>48.17</v>
      </c>
      <c r="G821" t="str">
        <f>HYPERLINK("https://www.ncbi.nlm.nih.gov/nucleotide/XM_024826537.1?report=genbank&amp;log$=nucltop&amp;blast_rank=41&amp;RID=200B0BVN013","XM_024826537.1")</f>
        <v>XM_024826537.1</v>
      </c>
    </row>
    <row r="822" spans="1:7" x14ac:dyDescent="0.35">
      <c r="A822" t="s">
        <v>320</v>
      </c>
      <c r="B822">
        <v>592</v>
      </c>
      <c r="C822">
        <v>592</v>
      </c>
      <c r="D822" s="2">
        <v>0.88</v>
      </c>
      <c r="E822">
        <v>0</v>
      </c>
      <c r="F822">
        <v>48.14</v>
      </c>
      <c r="G822" t="str">
        <f>HYPERLINK("https://www.ncbi.nlm.nih.gov/nucleotide/XM_025517200.1?report=genbank&amp;log$=nucltop&amp;blast_rank=42&amp;RID=200B0BVN013","XM_025517200.1")</f>
        <v>XM_025517200.1</v>
      </c>
    </row>
    <row r="823" spans="1:7" x14ac:dyDescent="0.35">
      <c r="A823" t="s">
        <v>1240</v>
      </c>
      <c r="B823">
        <v>560</v>
      </c>
      <c r="C823">
        <v>560</v>
      </c>
      <c r="D823" s="2">
        <v>0.87</v>
      </c>
      <c r="E823">
        <v>0</v>
      </c>
      <c r="F823">
        <v>48.1</v>
      </c>
      <c r="G823" t="str">
        <f>HYPERLINK("https://www.ncbi.nlm.nih.gov/nucleotide/XM_026758877.1?report=genbank&amp;log$=nucltop&amp;blast_rank=43&amp;RID=200B0BVN013","XM_026758877.1")</f>
        <v>XM_026758877.1</v>
      </c>
    </row>
    <row r="824" spans="1:7" x14ac:dyDescent="0.35">
      <c r="A824" t="s">
        <v>1241</v>
      </c>
      <c r="B824">
        <v>559</v>
      </c>
      <c r="C824">
        <v>559</v>
      </c>
      <c r="D824" s="2">
        <v>0.87</v>
      </c>
      <c r="E824">
        <v>0</v>
      </c>
      <c r="F824">
        <v>48.1</v>
      </c>
      <c r="G824" t="str">
        <f>HYPERLINK("https://www.ncbi.nlm.nih.gov/nucleotide/XM_033560384.1?report=genbank&amp;log$=nucltop&amp;blast_rank=44&amp;RID=200B0BVN013","XM_033560384.1")</f>
        <v>XM_033560384.1</v>
      </c>
    </row>
    <row r="825" spans="1:7" x14ac:dyDescent="0.35">
      <c r="A825" t="s">
        <v>1242</v>
      </c>
      <c r="B825">
        <v>562</v>
      </c>
      <c r="C825">
        <v>562</v>
      </c>
      <c r="D825" s="2">
        <v>0.87</v>
      </c>
      <c r="E825">
        <v>0</v>
      </c>
      <c r="F825">
        <v>47.94</v>
      </c>
      <c r="G825" t="str">
        <f>HYPERLINK("https://www.ncbi.nlm.nih.gov/nucleotide/XM_742895.1?report=genbank&amp;log$=nucltop&amp;blast_rank=45&amp;RID=200B0BVN013","XM_742895.1")</f>
        <v>XM_742895.1</v>
      </c>
    </row>
    <row r="826" spans="1:7" x14ac:dyDescent="0.35">
      <c r="A826" t="s">
        <v>329</v>
      </c>
      <c r="B826">
        <v>569</v>
      </c>
      <c r="C826">
        <v>569</v>
      </c>
      <c r="D826" s="2">
        <v>0.87</v>
      </c>
      <c r="E826">
        <v>0</v>
      </c>
      <c r="F826">
        <v>47.86</v>
      </c>
      <c r="G826" t="str">
        <f>HYPERLINK("https://www.ncbi.nlm.nih.gov/nucleotide/XM_032060481.1?report=genbank&amp;log$=nucltop&amp;blast_rank=46&amp;RID=200B0BVN013","XM_032060481.1")</f>
        <v>XM_032060481.1</v>
      </c>
    </row>
    <row r="827" spans="1:7" x14ac:dyDescent="0.35">
      <c r="A827" t="s">
        <v>32</v>
      </c>
      <c r="B827">
        <v>594</v>
      </c>
      <c r="C827">
        <v>594</v>
      </c>
      <c r="D827" s="2">
        <v>0.88</v>
      </c>
      <c r="E827">
        <v>0</v>
      </c>
      <c r="F827">
        <v>47.78</v>
      </c>
      <c r="G827" t="str">
        <f>HYPERLINK("https://www.ncbi.nlm.nih.gov/nucleotide/XM_018428788.1?report=genbank&amp;log$=nucltop&amp;blast_rank=47&amp;RID=200B0BVN013","XM_018428788.1")</f>
        <v>XM_018428788.1</v>
      </c>
    </row>
    <row r="828" spans="1:7" x14ac:dyDescent="0.35">
      <c r="A828" t="s">
        <v>338</v>
      </c>
      <c r="B828">
        <v>576</v>
      </c>
      <c r="C828">
        <v>576</v>
      </c>
      <c r="D828" s="2">
        <v>0.87</v>
      </c>
      <c r="E828">
        <v>0</v>
      </c>
      <c r="F828">
        <v>47.78</v>
      </c>
      <c r="G828" t="str">
        <f>HYPERLINK("https://www.ncbi.nlm.nih.gov/nucleotide/XM_001276175.1?report=genbank&amp;log$=nucltop&amp;blast_rank=48&amp;RID=200B0BVN013","XM_001276175.1")</f>
        <v>XM_001276175.1</v>
      </c>
    </row>
    <row r="829" spans="1:7" x14ac:dyDescent="0.35">
      <c r="A829" t="s">
        <v>1243</v>
      </c>
      <c r="B829">
        <v>559</v>
      </c>
      <c r="C829">
        <v>559</v>
      </c>
      <c r="D829" s="2">
        <v>0.87</v>
      </c>
      <c r="E829">
        <v>0</v>
      </c>
      <c r="F829">
        <v>47.71</v>
      </c>
      <c r="G829" t="str">
        <f>HYPERLINK("https://www.ncbi.nlm.nih.gov/nucleotide/XM_001216677.1?report=genbank&amp;log$=nucltop&amp;blast_rank=49&amp;RID=200B0BVN013","XM_001216677.1")</f>
        <v>XM_001216677.1</v>
      </c>
    </row>
    <row r="830" spans="1:7" x14ac:dyDescent="0.35">
      <c r="A830" t="s">
        <v>317</v>
      </c>
      <c r="B830">
        <v>608</v>
      </c>
      <c r="C830">
        <v>608</v>
      </c>
      <c r="D830" s="2">
        <v>0.87</v>
      </c>
      <c r="E830">
        <v>0</v>
      </c>
      <c r="F830">
        <v>47.69</v>
      </c>
      <c r="G830" t="str">
        <f>HYPERLINK("https://www.ncbi.nlm.nih.gov/nucleotide/XM_027629006.1?report=genbank&amp;log$=nucltop&amp;blast_rank=50&amp;RID=200B0BVN013","XM_027629006.1")</f>
        <v>XM_027629006.1</v>
      </c>
    </row>
    <row r="831" spans="1:7" x14ac:dyDescent="0.35">
      <c r="A831" t="s">
        <v>316</v>
      </c>
      <c r="B831">
        <v>608</v>
      </c>
      <c r="C831">
        <v>608</v>
      </c>
      <c r="D831" s="2">
        <v>0.87</v>
      </c>
      <c r="E831">
        <v>0</v>
      </c>
      <c r="F831">
        <v>47.69</v>
      </c>
      <c r="G831" t="str">
        <f>HYPERLINK("https://www.ncbi.nlm.nih.gov/nucleotide/CP030254.1?report=genbank&amp;log$=nucltop&amp;blast_rank=51&amp;RID=200B0BVN013","CP030254.1")</f>
        <v>CP030254.1</v>
      </c>
    </row>
    <row r="832" spans="1:7" x14ac:dyDescent="0.35">
      <c r="A832" t="s">
        <v>315</v>
      </c>
      <c r="B832">
        <v>607</v>
      </c>
      <c r="C832">
        <v>607</v>
      </c>
      <c r="D832" s="2">
        <v>0.87</v>
      </c>
      <c r="E832">
        <v>0</v>
      </c>
      <c r="F832">
        <v>47.69</v>
      </c>
      <c r="G832" t="str">
        <f>HYPERLINK("https://www.ncbi.nlm.nih.gov/nucleotide/CP033152.1?report=genbank&amp;log$=nucltop&amp;blast_rank=52&amp;RID=200B0BVN013","CP033152.1")</f>
        <v>CP033152.1</v>
      </c>
    </row>
    <row r="833" spans="1:7" x14ac:dyDescent="0.35">
      <c r="A833" t="s">
        <v>358</v>
      </c>
      <c r="B833">
        <v>586</v>
      </c>
      <c r="C833">
        <v>643</v>
      </c>
      <c r="D833" s="2">
        <v>0.88</v>
      </c>
      <c r="E833">
        <v>0</v>
      </c>
      <c r="F833">
        <v>47.66</v>
      </c>
      <c r="G833" t="str">
        <f>HYPERLINK("https://www.ncbi.nlm.nih.gov/nucleotide/LT962476.1?report=genbank&amp;log$=nucltop&amp;blast_rank=53&amp;RID=200B0BVN013","LT962476.1")</f>
        <v>LT962476.1</v>
      </c>
    </row>
    <row r="834" spans="1:7" x14ac:dyDescent="0.35">
      <c r="A834" t="s">
        <v>359</v>
      </c>
      <c r="B834">
        <v>586</v>
      </c>
      <c r="C834">
        <v>643</v>
      </c>
      <c r="D834" s="2">
        <v>0.88</v>
      </c>
      <c r="E834">
        <v>0</v>
      </c>
      <c r="F834">
        <v>47.66</v>
      </c>
      <c r="G834" t="str">
        <f>HYPERLINK("https://www.ncbi.nlm.nih.gov/nucleotide/CP014715.1?report=genbank&amp;log$=nucltop&amp;blast_rank=54&amp;RID=200B0BVN013","CP014715.1")</f>
        <v>CP014715.1</v>
      </c>
    </row>
    <row r="835" spans="1:7" x14ac:dyDescent="0.35">
      <c r="A835" t="s">
        <v>360</v>
      </c>
      <c r="B835">
        <v>586</v>
      </c>
      <c r="C835">
        <v>643</v>
      </c>
      <c r="D835" s="2">
        <v>0.88</v>
      </c>
      <c r="E835">
        <v>0</v>
      </c>
      <c r="F835">
        <v>47.66</v>
      </c>
      <c r="G835" t="str">
        <f>HYPERLINK("https://www.ncbi.nlm.nih.gov/nucleotide/CP014708.1?report=genbank&amp;log$=nucltop&amp;blast_rank=55&amp;RID=200B0BVN013","CP014708.1")</f>
        <v>CP014708.1</v>
      </c>
    </row>
    <row r="836" spans="1:7" x14ac:dyDescent="0.35">
      <c r="A836" t="s">
        <v>361</v>
      </c>
      <c r="B836">
        <v>586</v>
      </c>
      <c r="C836">
        <v>643</v>
      </c>
      <c r="D836" s="2">
        <v>0.88</v>
      </c>
      <c r="E836">
        <v>0</v>
      </c>
      <c r="F836">
        <v>47.66</v>
      </c>
      <c r="G836" t="str">
        <f>HYPERLINK("https://www.ncbi.nlm.nih.gov/nucleotide/FR839628.1?report=genbank&amp;log$=nucltop&amp;blast_rank=56&amp;RID=200B0BVN013","FR839628.1")</f>
        <v>FR839628.1</v>
      </c>
    </row>
    <row r="837" spans="1:7" x14ac:dyDescent="0.35">
      <c r="A837" t="s">
        <v>362</v>
      </c>
      <c r="B837">
        <v>586</v>
      </c>
      <c r="C837">
        <v>643</v>
      </c>
      <c r="D837" s="2">
        <v>0.88</v>
      </c>
      <c r="E837">
        <v>0</v>
      </c>
      <c r="F837">
        <v>47.66</v>
      </c>
      <c r="G837" t="str">
        <f>HYPERLINK("https://www.ncbi.nlm.nih.gov/nucleotide/FN392319.1?report=genbank&amp;log$=nucltop&amp;blast_rank=57&amp;RID=200B0BVN013","FN392319.1")</f>
        <v>FN392319.1</v>
      </c>
    </row>
    <row r="838" spans="1:7" x14ac:dyDescent="0.35">
      <c r="A838" t="s">
        <v>357</v>
      </c>
      <c r="B838">
        <v>585</v>
      </c>
      <c r="C838">
        <v>585</v>
      </c>
      <c r="D838" s="2">
        <v>0.88</v>
      </c>
      <c r="E838">
        <v>0</v>
      </c>
      <c r="F838">
        <v>47.66</v>
      </c>
      <c r="G838" t="str">
        <f>HYPERLINK("https://www.ncbi.nlm.nih.gov/nucleotide/XM_002490692.1?report=genbank&amp;log$=nucltop&amp;blast_rank=58&amp;RID=200B0BVN013","XM_002490692.1")</f>
        <v>XM_002490692.1</v>
      </c>
    </row>
    <row r="839" spans="1:7" x14ac:dyDescent="0.35">
      <c r="A839" t="s">
        <v>324</v>
      </c>
      <c r="B839">
        <v>581</v>
      </c>
      <c r="C839">
        <v>581</v>
      </c>
      <c r="D839" s="2">
        <v>0.88</v>
      </c>
      <c r="E839">
        <v>0</v>
      </c>
      <c r="F839">
        <v>47.6</v>
      </c>
      <c r="G839" t="str">
        <f>HYPERLINK("https://www.ncbi.nlm.nih.gov/nucleotide/XM_025490801.1?report=genbank&amp;log$=nucltop&amp;blast_rank=59&amp;RID=200B0BVN013","XM_025490801.1")</f>
        <v>XM_025490801.1</v>
      </c>
    </row>
    <row r="840" spans="1:7" x14ac:dyDescent="0.35">
      <c r="A840" t="s">
        <v>351</v>
      </c>
      <c r="B840">
        <v>578</v>
      </c>
      <c r="C840">
        <v>578</v>
      </c>
      <c r="D840" s="2">
        <v>0.87</v>
      </c>
      <c r="E840">
        <v>0</v>
      </c>
      <c r="F840">
        <v>47.55</v>
      </c>
      <c r="G840" t="str">
        <f>HYPERLINK("https://www.ncbi.nlm.nih.gov/nucleotide/XM_018333214.1?report=genbank&amp;log$=nucltop&amp;blast_rank=60&amp;RID=200B0BVN013","XM_018333214.1")</f>
        <v>XM_018333214.1</v>
      </c>
    </row>
    <row r="841" spans="1:7" x14ac:dyDescent="0.35">
      <c r="A841" t="s">
        <v>364</v>
      </c>
      <c r="B841">
        <v>585</v>
      </c>
      <c r="C841">
        <v>585</v>
      </c>
      <c r="D841" s="2">
        <v>0.88</v>
      </c>
      <c r="E841">
        <v>0</v>
      </c>
      <c r="F841">
        <v>47.5</v>
      </c>
      <c r="G841" t="str">
        <f>HYPERLINK("https://www.ncbi.nlm.nih.gov/nucleotide/CP014586.1?report=genbank&amp;log$=nucltop&amp;blast_rank=61&amp;RID=200B0BVN013","CP014586.1")</f>
        <v>CP014586.1</v>
      </c>
    </row>
    <row r="842" spans="1:7" x14ac:dyDescent="0.35">
      <c r="A842" t="s">
        <v>318</v>
      </c>
      <c r="B842">
        <v>593</v>
      </c>
      <c r="C842">
        <v>593</v>
      </c>
      <c r="D842" s="2">
        <v>0.88</v>
      </c>
      <c r="E842">
        <v>0</v>
      </c>
      <c r="F842">
        <v>47.48</v>
      </c>
      <c r="G842" t="str">
        <f>HYPERLINK("https://www.ncbi.nlm.nih.gov/nucleotide/XM_013390349.1?report=genbank&amp;log$=nucltop&amp;blast_rank=62&amp;RID=200B0BVN013","XM_013390349.1")</f>
        <v>XM_013390349.1</v>
      </c>
    </row>
    <row r="843" spans="1:7" x14ac:dyDescent="0.35">
      <c r="A843" t="s">
        <v>328</v>
      </c>
      <c r="B843">
        <v>602</v>
      </c>
      <c r="C843">
        <v>799</v>
      </c>
      <c r="D843" s="2">
        <v>0.88</v>
      </c>
      <c r="E843">
        <v>0</v>
      </c>
      <c r="F843">
        <v>47.48</v>
      </c>
      <c r="G843" t="str">
        <f>HYPERLINK("https://www.ncbi.nlm.nih.gov/nucleotide/CP046235.1?report=genbank&amp;log$=nucltop&amp;blast_rank=63&amp;RID=200B0BVN013","CP046235.1")</f>
        <v>CP046235.1</v>
      </c>
    </row>
    <row r="844" spans="1:7" x14ac:dyDescent="0.35">
      <c r="A844" t="s">
        <v>1244</v>
      </c>
      <c r="B844">
        <v>565</v>
      </c>
      <c r="C844">
        <v>565</v>
      </c>
      <c r="D844" s="2">
        <v>0.87</v>
      </c>
      <c r="E844">
        <v>0</v>
      </c>
      <c r="F844">
        <v>47.39</v>
      </c>
      <c r="G844" t="str">
        <f>HYPERLINK("https://www.ncbi.nlm.nih.gov/nucleotide/XM_026766521.1?report=genbank&amp;log$=nucltop&amp;blast_rank=64&amp;RID=200B0BVN013","XM_026766521.1")</f>
        <v>XM_026766521.1</v>
      </c>
    </row>
    <row r="845" spans="1:7" x14ac:dyDescent="0.35">
      <c r="A845" t="s">
        <v>1245</v>
      </c>
      <c r="B845">
        <v>565</v>
      </c>
      <c r="C845">
        <v>565</v>
      </c>
      <c r="D845" s="2">
        <v>0.87</v>
      </c>
      <c r="E845">
        <v>0</v>
      </c>
      <c r="F845">
        <v>47.39</v>
      </c>
      <c r="G845" t="str">
        <f>HYPERLINK("https://www.ncbi.nlm.nih.gov/nucleotide/XM_025602155.1?report=genbank&amp;log$=nucltop&amp;blast_rank=65&amp;RID=200B0BVN013","XM_025602155.1")</f>
        <v>XM_025602155.1</v>
      </c>
    </row>
    <row r="846" spans="1:7" x14ac:dyDescent="0.35">
      <c r="A846" t="s">
        <v>1246</v>
      </c>
      <c r="B846">
        <v>565</v>
      </c>
      <c r="C846">
        <v>565</v>
      </c>
      <c r="D846" s="2">
        <v>0.87</v>
      </c>
      <c r="E846">
        <v>0</v>
      </c>
      <c r="F846">
        <v>47.39</v>
      </c>
      <c r="G846" t="str">
        <f>HYPERLINK("https://www.ncbi.nlm.nih.gov/nucleotide/XM_001393872.2?report=genbank&amp;log$=nucltop&amp;blast_rank=66&amp;RID=200B0BVN013","XM_001393872.2")</f>
        <v>XM_001393872.2</v>
      </c>
    </row>
    <row r="847" spans="1:7" x14ac:dyDescent="0.35">
      <c r="A847" t="s">
        <v>337</v>
      </c>
      <c r="B847">
        <v>566</v>
      </c>
      <c r="C847">
        <v>566</v>
      </c>
      <c r="D847" s="2">
        <v>0.87</v>
      </c>
      <c r="E847">
        <v>0</v>
      </c>
      <c r="F847">
        <v>47.38</v>
      </c>
      <c r="G847" t="str">
        <f>HYPERLINK("https://www.ncbi.nlm.nih.gov/nucleotide/XM_026742464.1?report=genbank&amp;log$=nucltop&amp;blast_rank=67&amp;RID=200B0BVN013","XM_026742464.1")</f>
        <v>XM_026742464.1</v>
      </c>
    </row>
    <row r="848" spans="1:7" x14ac:dyDescent="0.35">
      <c r="A848" t="s">
        <v>336</v>
      </c>
      <c r="B848">
        <v>566</v>
      </c>
      <c r="C848">
        <v>566</v>
      </c>
      <c r="D848" s="2">
        <v>0.87</v>
      </c>
      <c r="E848">
        <v>0</v>
      </c>
      <c r="F848">
        <v>47.36</v>
      </c>
      <c r="G848" t="str">
        <f>HYPERLINK("https://www.ncbi.nlm.nih.gov/nucleotide/XM_025506241.1?report=genbank&amp;log$=nucltop&amp;blast_rank=68&amp;RID=200B0BVN013","XM_025506241.1")</f>
        <v>XM_025506241.1</v>
      </c>
    </row>
    <row r="849" spans="1:7" x14ac:dyDescent="0.35">
      <c r="A849" t="s">
        <v>334</v>
      </c>
      <c r="B849">
        <v>585</v>
      </c>
      <c r="C849">
        <v>585</v>
      </c>
      <c r="D849" s="2">
        <v>0.88</v>
      </c>
      <c r="E849">
        <v>0</v>
      </c>
      <c r="F849">
        <v>47.31</v>
      </c>
      <c r="G849" t="str">
        <f>HYPERLINK("https://www.ncbi.nlm.nih.gov/nucleotide/XM_003335840.2?report=genbank&amp;log$=nucltop&amp;blast_rank=69&amp;RID=200B0BVN013","XM_003335840.2")</f>
        <v>XM_003335840.2</v>
      </c>
    </row>
    <row r="850" spans="1:7" x14ac:dyDescent="0.35">
      <c r="A850" t="s">
        <v>343</v>
      </c>
      <c r="B850">
        <v>580</v>
      </c>
      <c r="C850">
        <v>580</v>
      </c>
      <c r="D850" s="2">
        <v>0.88</v>
      </c>
      <c r="E850">
        <v>0</v>
      </c>
      <c r="F850">
        <v>47.27</v>
      </c>
      <c r="G850" t="str">
        <f>HYPERLINK("https://www.ncbi.nlm.nih.gov/nucleotide/XM_002615675.1?report=genbank&amp;log$=nucltop&amp;blast_rank=70&amp;RID=200B0BVN013","XM_002615675.1")</f>
        <v>XM_002615675.1</v>
      </c>
    </row>
    <row r="851" spans="1:7" x14ac:dyDescent="0.35">
      <c r="A851" t="s">
        <v>1247</v>
      </c>
      <c r="B851">
        <v>581</v>
      </c>
      <c r="C851">
        <v>581</v>
      </c>
      <c r="D851" s="2">
        <v>0.88</v>
      </c>
      <c r="E851" s="3">
        <v>3.0000000000000001E-180</v>
      </c>
      <c r="F851">
        <v>47.15</v>
      </c>
      <c r="G851" t="str">
        <f>HYPERLINK("https://www.ncbi.nlm.nih.gov/nucleotide/AP024421.1?report=genbank&amp;log$=nucltop&amp;blast_rank=71&amp;RID=200B0BVN013","AP024421.1")</f>
        <v>AP024421.1</v>
      </c>
    </row>
    <row r="852" spans="1:7" x14ac:dyDescent="0.35">
      <c r="A852" t="s">
        <v>356</v>
      </c>
      <c r="B852">
        <v>577</v>
      </c>
      <c r="C852">
        <v>577</v>
      </c>
      <c r="D852" s="2">
        <v>0.87</v>
      </c>
      <c r="E852">
        <v>0</v>
      </c>
      <c r="F852">
        <v>47.08</v>
      </c>
      <c r="G852" t="str">
        <f>HYPERLINK("https://www.ncbi.nlm.nih.gov/nucleotide/XM_020216423.1?report=genbank&amp;log$=nucltop&amp;blast_rank=72&amp;RID=200B0BVN013","XM_020216423.1")</f>
        <v>XM_020216423.1</v>
      </c>
    </row>
    <row r="853" spans="1:7" x14ac:dyDescent="0.35">
      <c r="A853" t="s">
        <v>342</v>
      </c>
      <c r="B853">
        <v>577</v>
      </c>
      <c r="C853">
        <v>577</v>
      </c>
      <c r="D853" s="2">
        <v>0.88</v>
      </c>
      <c r="E853">
        <v>0</v>
      </c>
      <c r="F853">
        <v>47.08</v>
      </c>
      <c r="G853" t="str">
        <f>HYPERLINK("https://www.ncbi.nlm.nih.gov/nucleotide/XM_019171704.1?report=genbank&amp;log$=nucltop&amp;blast_rank=73&amp;RID=200B0BVN013","XM_019171704.1")</f>
        <v>XM_019171704.1</v>
      </c>
    </row>
    <row r="854" spans="1:7" x14ac:dyDescent="0.35">
      <c r="A854" t="s">
        <v>1248</v>
      </c>
      <c r="B854">
        <v>556</v>
      </c>
      <c r="C854">
        <v>556</v>
      </c>
      <c r="D854" s="2">
        <v>0.87</v>
      </c>
      <c r="E854">
        <v>0</v>
      </c>
      <c r="F854">
        <v>47.07</v>
      </c>
      <c r="G854" t="str">
        <f>HYPERLINK("https://www.ncbi.nlm.nih.gov/nucleotide/XM_032085099.1?report=genbank&amp;log$=nucltop&amp;blast_rank=74&amp;RID=200B0BVN013","XM_032085099.1")</f>
        <v>XM_032085099.1</v>
      </c>
    </row>
    <row r="855" spans="1:7" x14ac:dyDescent="0.35">
      <c r="A855" t="s">
        <v>1249</v>
      </c>
      <c r="B855">
        <v>556</v>
      </c>
      <c r="C855">
        <v>556</v>
      </c>
      <c r="D855" s="2">
        <v>0.87</v>
      </c>
      <c r="E855">
        <v>0</v>
      </c>
      <c r="F855">
        <v>47.07</v>
      </c>
      <c r="G855" t="str">
        <f>HYPERLINK("https://www.ncbi.nlm.nih.gov/nucleotide/XM_022537907.1?report=genbank&amp;log$=nucltop&amp;blast_rank=75&amp;RID=200B0BVN013","XM_022537907.1")</f>
        <v>XM_022537907.1</v>
      </c>
    </row>
    <row r="856" spans="1:7" x14ac:dyDescent="0.35">
      <c r="A856" t="s">
        <v>1250</v>
      </c>
      <c r="B856">
        <v>555</v>
      </c>
      <c r="C856">
        <v>555</v>
      </c>
      <c r="D856" s="2">
        <v>0.87</v>
      </c>
      <c r="E856">
        <v>0</v>
      </c>
      <c r="F856">
        <v>47.07</v>
      </c>
      <c r="G856" t="str">
        <f>HYPERLINK("https://www.ncbi.nlm.nih.gov/nucleotide/XM_015548029.1?report=genbank&amp;log$=nucltop&amp;blast_rank=76&amp;RID=200B0BVN013","XM_015548029.1")</f>
        <v>XM_015548029.1</v>
      </c>
    </row>
    <row r="857" spans="1:7" x14ac:dyDescent="0.35">
      <c r="A857" t="s">
        <v>1251</v>
      </c>
      <c r="B857">
        <v>562</v>
      </c>
      <c r="C857">
        <v>562</v>
      </c>
      <c r="D857" s="2">
        <v>0.87</v>
      </c>
      <c r="E857">
        <v>0</v>
      </c>
      <c r="F857">
        <v>46.98</v>
      </c>
      <c r="G857" t="str">
        <f>HYPERLINK("https://www.ncbi.nlm.nih.gov/nucleotide/XM_025543401.1?report=genbank&amp;log$=nucltop&amp;blast_rank=77&amp;RID=200B0BVN013","XM_025543401.1")</f>
        <v>XM_025543401.1</v>
      </c>
    </row>
    <row r="858" spans="1:7" x14ac:dyDescent="0.35">
      <c r="A858" t="s">
        <v>341</v>
      </c>
      <c r="B858">
        <v>581</v>
      </c>
      <c r="C858">
        <v>581</v>
      </c>
      <c r="D858" s="2">
        <v>0.88</v>
      </c>
      <c r="E858">
        <v>0</v>
      </c>
      <c r="F858">
        <v>46.92</v>
      </c>
      <c r="G858" t="str">
        <f>HYPERLINK("https://www.ncbi.nlm.nih.gov/nucleotide/XM_022543778.1?report=genbank&amp;log$=nucltop&amp;blast_rank=78&amp;RID=200B0BVN013","XM_022543778.1")</f>
        <v>XM_022543778.1</v>
      </c>
    </row>
    <row r="859" spans="1:7" x14ac:dyDescent="0.35">
      <c r="A859" t="s">
        <v>340</v>
      </c>
      <c r="B859">
        <v>570</v>
      </c>
      <c r="C859">
        <v>570</v>
      </c>
      <c r="D859" s="2">
        <v>0.87</v>
      </c>
      <c r="E859">
        <v>0</v>
      </c>
      <c r="F859">
        <v>46.91</v>
      </c>
      <c r="G859" t="str">
        <f>HYPERLINK("https://www.ncbi.nlm.nih.gov/nucleotide/XM_032067073.1?report=genbank&amp;log$=nucltop&amp;blast_rank=79&amp;RID=200B0BVN013","XM_032067073.1")</f>
        <v>XM_032067073.1</v>
      </c>
    </row>
    <row r="860" spans="1:7" x14ac:dyDescent="0.35">
      <c r="A860" t="s">
        <v>1252</v>
      </c>
      <c r="B860">
        <v>547</v>
      </c>
      <c r="C860">
        <v>547</v>
      </c>
      <c r="D860" s="2">
        <v>0.87</v>
      </c>
      <c r="E860">
        <v>0</v>
      </c>
      <c r="F860">
        <v>46.34</v>
      </c>
      <c r="G860" t="str">
        <f>HYPERLINK("https://www.ncbi.nlm.nih.gov/nucleotide/XM_025694099.1?report=genbank&amp;log$=nucltop&amp;blast_rank=80&amp;RID=200B0BVN013","XM_025694099.1")</f>
        <v>XM_025694099.1</v>
      </c>
    </row>
    <row r="861" spans="1:7" x14ac:dyDescent="0.35">
      <c r="A861" t="s">
        <v>332</v>
      </c>
      <c r="B861">
        <v>568</v>
      </c>
      <c r="C861">
        <v>568</v>
      </c>
      <c r="D861" s="2">
        <v>0.88</v>
      </c>
      <c r="E861">
        <v>0</v>
      </c>
      <c r="F861">
        <v>46.08</v>
      </c>
      <c r="G861" t="str">
        <f>HYPERLINK("https://www.ncbi.nlm.nih.gov/nucleotide/XM_025523197.1?report=genbank&amp;log$=nucltop&amp;blast_rank=81&amp;RID=200B0BVN013","XM_025523197.1")</f>
        <v>XM_025523197.1</v>
      </c>
    </row>
    <row r="862" spans="1:7" x14ac:dyDescent="0.35">
      <c r="A862" t="s">
        <v>231</v>
      </c>
      <c r="B862">
        <v>536</v>
      </c>
      <c r="C862">
        <v>536</v>
      </c>
      <c r="D862" s="2">
        <v>0.88</v>
      </c>
      <c r="E862" s="3">
        <v>9.9999999999999995E-179</v>
      </c>
      <c r="F862">
        <v>45.67</v>
      </c>
      <c r="G862" t="str">
        <f>HYPERLINK("https://www.ncbi.nlm.nih.gov/nucleotide/XM_011120337.1?report=genbank&amp;log$=nucltop&amp;blast_rank=82&amp;RID=200B0BVN013","XM_011120337.1")</f>
        <v>XM_011120337.1</v>
      </c>
    </row>
    <row r="863" spans="1:7" x14ac:dyDescent="0.35">
      <c r="A863" t="s">
        <v>304</v>
      </c>
      <c r="B863">
        <v>627</v>
      </c>
      <c r="C863">
        <v>627</v>
      </c>
      <c r="D863" s="2">
        <v>0.98</v>
      </c>
      <c r="E863">
        <v>0</v>
      </c>
      <c r="F863">
        <v>45.62</v>
      </c>
      <c r="G863" t="str">
        <f>HYPERLINK("https://www.ncbi.nlm.nih.gov/nucleotide/LT558132.1?report=genbank&amp;log$=nucltop&amp;blast_rank=83&amp;RID=200B0BVN013","LT558132.1")</f>
        <v>LT558132.1</v>
      </c>
    </row>
    <row r="864" spans="1:7" x14ac:dyDescent="0.35">
      <c r="A864" t="s">
        <v>366</v>
      </c>
      <c r="B864">
        <v>588</v>
      </c>
      <c r="C864">
        <v>588</v>
      </c>
      <c r="D864" s="2">
        <v>0.88</v>
      </c>
      <c r="E864">
        <v>0</v>
      </c>
      <c r="F864">
        <v>45.47</v>
      </c>
      <c r="G864" t="str">
        <f>HYPERLINK("https://www.ncbi.nlm.nih.gov/nucleotide/NM_001018916.2?report=genbank&amp;log$=nucltop&amp;blast_rank=84&amp;RID=200B0BVN013","NM_001018916.2")</f>
        <v>NM_001018916.2</v>
      </c>
    </row>
    <row r="865" spans="1:7" x14ac:dyDescent="0.35">
      <c r="A865" t="s">
        <v>305</v>
      </c>
      <c r="B865">
        <v>610</v>
      </c>
      <c r="C865">
        <v>610</v>
      </c>
      <c r="D865" s="2">
        <v>0.98</v>
      </c>
      <c r="E865">
        <v>0</v>
      </c>
      <c r="F865">
        <v>45.35</v>
      </c>
      <c r="G865" t="str">
        <f>HYPERLINK("https://www.ncbi.nlm.nih.gov/nucleotide/XM_011393347.1?report=genbank&amp;log$=nucltop&amp;blast_rank=85&amp;RID=200B0BVN013","XM_011393347.1")</f>
        <v>XM_011393347.1</v>
      </c>
    </row>
    <row r="866" spans="1:7" x14ac:dyDescent="0.35">
      <c r="A866" t="s">
        <v>352</v>
      </c>
      <c r="B866">
        <v>590</v>
      </c>
      <c r="C866">
        <v>590</v>
      </c>
      <c r="D866" s="2">
        <v>0.94</v>
      </c>
      <c r="E866">
        <v>0</v>
      </c>
      <c r="F866">
        <v>45.15</v>
      </c>
      <c r="G866" t="str">
        <f>HYPERLINK("https://www.ncbi.nlm.nih.gov/nucleotide/XM_025500308.1?report=genbank&amp;log$=nucltop&amp;blast_rank=86&amp;RID=200B0BVN013","XM_025500308.1")</f>
        <v>XM_025500308.1</v>
      </c>
    </row>
    <row r="867" spans="1:7" x14ac:dyDescent="0.35">
      <c r="A867" t="s">
        <v>1253</v>
      </c>
      <c r="B867">
        <v>545</v>
      </c>
      <c r="C867">
        <v>545</v>
      </c>
      <c r="D867" s="2">
        <v>0.87</v>
      </c>
      <c r="E867">
        <v>0</v>
      </c>
      <c r="F867">
        <v>45.15</v>
      </c>
      <c r="G867" t="str">
        <f>HYPERLINK("https://www.ncbi.nlm.nih.gov/nucleotide/XM_022627573.1?report=genbank&amp;log$=nucltop&amp;blast_rank=87&amp;RID=200B0BVN013","XM_022627573.1")</f>
        <v>XM_022627573.1</v>
      </c>
    </row>
    <row r="868" spans="1:7" x14ac:dyDescent="0.35">
      <c r="A868" t="s">
        <v>308</v>
      </c>
      <c r="B868">
        <v>617</v>
      </c>
      <c r="C868">
        <v>617</v>
      </c>
      <c r="D868" s="2">
        <v>0.98</v>
      </c>
      <c r="E868">
        <v>0</v>
      </c>
      <c r="F868">
        <v>45.06</v>
      </c>
      <c r="G868" t="str">
        <f>HYPERLINK("https://www.ncbi.nlm.nih.gov/nucleotide/XM_016434934.1?report=genbank&amp;log$=nucltop&amp;blast_rank=88&amp;RID=200B0BVN013","XM_016434934.1")</f>
        <v>XM_016434934.1</v>
      </c>
    </row>
    <row r="869" spans="1:7" x14ac:dyDescent="0.35">
      <c r="A869" t="s">
        <v>321</v>
      </c>
      <c r="B869">
        <v>612</v>
      </c>
      <c r="C869">
        <v>612</v>
      </c>
      <c r="D869" s="2">
        <v>0.98</v>
      </c>
      <c r="E869">
        <v>0</v>
      </c>
      <c r="F869">
        <v>45</v>
      </c>
      <c r="G869" t="str">
        <f>HYPERLINK("https://www.ncbi.nlm.nih.gov/nucleotide/XM_014799615.1?report=genbank&amp;log$=nucltop&amp;blast_rank=89&amp;RID=200B0BVN013","XM_014799615.1")</f>
        <v>XM_014799615.1</v>
      </c>
    </row>
    <row r="870" spans="1:7" x14ac:dyDescent="0.35">
      <c r="A870" t="s">
        <v>369</v>
      </c>
      <c r="B870">
        <v>578</v>
      </c>
      <c r="C870">
        <v>578</v>
      </c>
      <c r="D870" s="2">
        <v>0.88</v>
      </c>
      <c r="E870">
        <v>0</v>
      </c>
      <c r="F870">
        <v>44.9</v>
      </c>
      <c r="G870" t="str">
        <f>HYPERLINK("https://www.ncbi.nlm.nih.gov/nucleotide/XM_002174400.2?report=genbank&amp;log$=nucltop&amp;blast_rank=90&amp;RID=200B0BVN013","XM_002174400.2")</f>
        <v>XM_002174400.2</v>
      </c>
    </row>
    <row r="871" spans="1:7" x14ac:dyDescent="0.35">
      <c r="A871" t="s">
        <v>335</v>
      </c>
      <c r="B871">
        <v>602</v>
      </c>
      <c r="C871">
        <v>602</v>
      </c>
      <c r="D871" s="2">
        <v>0.96</v>
      </c>
      <c r="E871">
        <v>0</v>
      </c>
      <c r="F871">
        <v>44.68</v>
      </c>
      <c r="G871" t="str">
        <f>HYPERLINK("https://www.ncbi.nlm.nih.gov/nucleotide/HG529665.1?report=genbank&amp;log$=nucltop&amp;blast_rank=91&amp;RID=200B0BVN013","HG529665.1")</f>
        <v>HG529665.1</v>
      </c>
    </row>
    <row r="872" spans="1:7" x14ac:dyDescent="0.35">
      <c r="A872" t="s">
        <v>376</v>
      </c>
      <c r="B872">
        <v>571</v>
      </c>
      <c r="C872">
        <v>571</v>
      </c>
      <c r="D872" s="2">
        <v>0.88</v>
      </c>
      <c r="E872">
        <v>0</v>
      </c>
      <c r="F872">
        <v>44.52</v>
      </c>
      <c r="G872" t="str">
        <f>HYPERLINK("https://www.ncbi.nlm.nih.gov/nucleotide/XM_013166564.1?report=genbank&amp;log$=nucltop&amp;blast_rank=92&amp;RID=200B0BVN013","XM_013166564.1")</f>
        <v>XM_013166564.1</v>
      </c>
    </row>
    <row r="873" spans="1:7" x14ac:dyDescent="0.35">
      <c r="A873" s="4" t="s">
        <v>1254</v>
      </c>
      <c r="B873" s="4">
        <v>539</v>
      </c>
      <c r="C873" s="4">
        <v>539</v>
      </c>
      <c r="D873" s="5">
        <v>0.88</v>
      </c>
      <c r="E873" s="6">
        <v>6.0000000000000001E-180</v>
      </c>
      <c r="F873" s="4">
        <v>44.44</v>
      </c>
      <c r="G873" s="4" t="str">
        <f>HYPERLINK("https://www.ncbi.nlm.nih.gov/nucleotide/XM_033728578.1?report=genbank&amp;log$=nucltop&amp;blast_rank=93&amp;RID=200B0BVN013","XM_033728578.1")</f>
        <v>XM_033728578.1</v>
      </c>
    </row>
    <row r="874" spans="1:7" x14ac:dyDescent="0.35">
      <c r="A874" t="s">
        <v>377</v>
      </c>
      <c r="B874">
        <v>571</v>
      </c>
      <c r="C874">
        <v>571</v>
      </c>
      <c r="D874" s="2">
        <v>0.88</v>
      </c>
      <c r="E874">
        <v>0</v>
      </c>
      <c r="F874">
        <v>44.36</v>
      </c>
      <c r="G874" t="str">
        <f>HYPERLINK("https://www.ncbi.nlm.nih.gov/nucleotide/XM_013164463.1?report=genbank&amp;log$=nucltop&amp;blast_rank=94&amp;RID=200B0BVN013","XM_013164463.1")</f>
        <v>XM_013164463.1</v>
      </c>
    </row>
    <row r="875" spans="1:7" x14ac:dyDescent="0.35">
      <c r="A875" s="4" t="s">
        <v>1255</v>
      </c>
      <c r="B875" s="4">
        <v>532</v>
      </c>
      <c r="C875" s="4">
        <v>532</v>
      </c>
      <c r="D875" s="5">
        <v>0.87</v>
      </c>
      <c r="E875" s="6">
        <v>9.9999999999999995E-179</v>
      </c>
      <c r="F875" s="4">
        <v>44.22</v>
      </c>
      <c r="G875" s="4" t="str">
        <f>HYPERLINK("https://www.ncbi.nlm.nih.gov/nucleotide/XM_007289933.1?report=genbank&amp;log$=nucltop&amp;blast_rank=95&amp;RID=200B0BVN013","XM_007289933.1")</f>
        <v>XM_007289933.1</v>
      </c>
    </row>
    <row r="876" spans="1:7" x14ac:dyDescent="0.35">
      <c r="A876" t="s">
        <v>1256</v>
      </c>
      <c r="B876">
        <v>544</v>
      </c>
      <c r="C876">
        <v>544</v>
      </c>
      <c r="D876" s="2">
        <v>0.88</v>
      </c>
      <c r="E876">
        <v>0</v>
      </c>
      <c r="F876">
        <v>43.92</v>
      </c>
      <c r="G876" t="str">
        <f>HYPERLINK("https://www.ncbi.nlm.nih.gov/nucleotide/XM_018372735.1?report=genbank&amp;log$=nucltop&amp;blast_rank=96&amp;RID=200B0BVN013","XM_018372735.1")</f>
        <v>XM_018372735.1</v>
      </c>
    </row>
    <row r="877" spans="1:7" x14ac:dyDescent="0.35">
      <c r="A877" s="4" t="s">
        <v>1257</v>
      </c>
      <c r="B877" s="4">
        <v>541</v>
      </c>
      <c r="C877" s="4">
        <v>541</v>
      </c>
      <c r="D877" s="5">
        <v>0.88</v>
      </c>
      <c r="E877" s="6">
        <v>4.0000000000000001E-180</v>
      </c>
      <c r="F877" s="4">
        <v>43.78</v>
      </c>
      <c r="G877" s="4" t="str">
        <f>HYPERLINK("https://www.ncbi.nlm.nih.gov/nucleotide/XM_019151138.1?report=genbank&amp;log$=nucltop&amp;blast_rank=97&amp;RID=200B0BVN013","XM_019151138.1")</f>
        <v>XM_019151138.1</v>
      </c>
    </row>
    <row r="878" spans="1:7" x14ac:dyDescent="0.35">
      <c r="A878" s="4" t="s">
        <v>1258</v>
      </c>
      <c r="B878" s="4">
        <v>541</v>
      </c>
      <c r="C878" s="4">
        <v>541</v>
      </c>
      <c r="D878" s="5">
        <v>0.88</v>
      </c>
      <c r="E878" s="6">
        <v>7.0000000000000001E-180</v>
      </c>
      <c r="F878" s="4">
        <v>43.57</v>
      </c>
      <c r="G878" s="4" t="str">
        <f>HYPERLINK("https://www.ncbi.nlm.nih.gov/nucleotide/XM_019137035.1?report=genbank&amp;log$=nucltop&amp;blast_rank=98&amp;RID=200B0BVN013","XM_019137035.1")</f>
        <v>XM_019137035.1</v>
      </c>
    </row>
    <row r="879" spans="1:7" x14ac:dyDescent="0.35">
      <c r="A879" s="4" t="s">
        <v>1259</v>
      </c>
      <c r="B879" s="4">
        <v>539</v>
      </c>
      <c r="C879" s="4">
        <v>539</v>
      </c>
      <c r="D879" s="5">
        <v>0.88</v>
      </c>
      <c r="E879" s="6">
        <v>2E-179</v>
      </c>
      <c r="F879" s="4">
        <v>43.46</v>
      </c>
      <c r="G879" s="4" t="str">
        <f>HYPERLINK("https://www.ncbi.nlm.nih.gov/nucleotide/XM_019186849.1?report=genbank&amp;log$=nucltop&amp;blast_rank=99&amp;RID=200B0BVN013","XM_019186849.1")</f>
        <v>XM_019186849.1</v>
      </c>
    </row>
    <row r="880" spans="1:7" x14ac:dyDescent="0.35">
      <c r="A880" s="4" t="s">
        <v>1260</v>
      </c>
      <c r="B880" s="4">
        <v>541</v>
      </c>
      <c r="C880" s="4">
        <v>541</v>
      </c>
      <c r="D880" s="5">
        <v>0.88</v>
      </c>
      <c r="E880" s="6">
        <v>1E-180</v>
      </c>
      <c r="F880" s="4">
        <v>43.42</v>
      </c>
      <c r="G880" s="4" t="str">
        <f>HYPERLINK("https://www.ncbi.nlm.nih.gov/nucleotide/XM_019179787.1?report=genbank&amp;log$=nucltop&amp;blast_rank=100&amp;RID=200B0BVN013","XM_019179787.1")</f>
        <v>XM_019179787.1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FD8B8-4B4C-4701-9899-02D84B4C5199}">
  <dimension ref="A1:G273"/>
  <sheetViews>
    <sheetView workbookViewId="0">
      <selection activeCell="A26" sqref="A26"/>
    </sheetView>
  </sheetViews>
  <sheetFormatPr defaultRowHeight="14.5" x14ac:dyDescent="0.35"/>
  <cols>
    <col min="1" max="1" width="88.36328125" bestFit="1" customWidth="1"/>
    <col min="2" max="2" width="9.54296875" bestFit="1" customWidth="1"/>
    <col min="3" max="3" width="10.08984375" bestFit="1" customWidth="1"/>
    <col min="4" max="4" width="11.1796875" bestFit="1" customWidth="1"/>
    <col min="5" max="6" width="9" bestFit="1" customWidth="1"/>
    <col min="7" max="7" width="15.1796875" bestFit="1" customWidth="1"/>
  </cols>
  <sheetData>
    <row r="1" spans="1:7" x14ac:dyDescent="0.35">
      <c r="A1" s="1" t="s">
        <v>1261</v>
      </c>
    </row>
    <row r="2" spans="1:7" x14ac:dyDescent="0.35">
      <c r="A2" s="1" t="s">
        <v>1262</v>
      </c>
    </row>
    <row r="3" spans="1:7" x14ac:dyDescent="0.3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 x14ac:dyDescent="0.35">
      <c r="A4" t="s">
        <v>9</v>
      </c>
      <c r="B4">
        <v>321</v>
      </c>
      <c r="C4">
        <v>1209</v>
      </c>
      <c r="D4" s="2">
        <v>0.99</v>
      </c>
      <c r="E4">
        <v>0</v>
      </c>
      <c r="F4">
        <v>92.64</v>
      </c>
      <c r="G4" t="str">
        <f>HYPERLINK("https://www.ncbi.nlm.nih.gov/nucleotide/LR732079.1?report=genbank&amp;log$=nucltop&amp;blast_rank=1&amp;RID=5VFV68MB013","LR732079.1")</f>
        <v>LR732079.1</v>
      </c>
    </row>
    <row r="5" spans="1:7" x14ac:dyDescent="0.35">
      <c r="A5" s="4" t="s">
        <v>10</v>
      </c>
      <c r="B5" s="4">
        <v>188</v>
      </c>
      <c r="C5" s="4">
        <v>188</v>
      </c>
      <c r="D5" s="5">
        <v>0.18</v>
      </c>
      <c r="E5" s="6">
        <v>8.0000000000000002E-53</v>
      </c>
      <c r="F5" s="4">
        <v>73.45</v>
      </c>
      <c r="G5" s="4" t="str">
        <f>HYPERLINK("https://www.ncbi.nlm.nih.gov/nucleotide/AB551954.1?report=genbank&amp;log$=nucltop&amp;blast_rank=2&amp;RID=5VFV68MB013","AB551954.1")</f>
        <v>AB551954.1</v>
      </c>
    </row>
    <row r="6" spans="1:7" x14ac:dyDescent="0.35">
      <c r="A6" t="s">
        <v>473</v>
      </c>
      <c r="B6">
        <v>400</v>
      </c>
      <c r="C6">
        <v>1115</v>
      </c>
      <c r="D6" s="2">
        <v>0.95</v>
      </c>
      <c r="E6" s="3">
        <v>2E-118</v>
      </c>
      <c r="F6">
        <v>62.01</v>
      </c>
      <c r="G6" t="str">
        <f>HYPERLINK("https://www.ncbi.nlm.nih.gov/nucleotide/CP068007.1?report=genbank&amp;log$=nucltop&amp;blast_rank=3&amp;RID=5VFV68MB013","CP068007.1")</f>
        <v>CP068007.1</v>
      </c>
    </row>
    <row r="7" spans="1:7" x14ac:dyDescent="0.35">
      <c r="A7" s="4" t="s">
        <v>11</v>
      </c>
      <c r="B7" s="4">
        <v>743</v>
      </c>
      <c r="C7" s="4">
        <v>743</v>
      </c>
      <c r="D7" s="5">
        <v>0.97</v>
      </c>
      <c r="E7" s="4">
        <v>0</v>
      </c>
      <c r="F7" s="4">
        <v>60.43</v>
      </c>
      <c r="G7" s="4" t="str">
        <f>HYPERLINK("https://www.ncbi.nlm.nih.gov/nucleotide/AB551982.1?report=genbank&amp;log$=nucltop&amp;blast_rank=4&amp;RID=5VFV68MB013","AB551982.1")</f>
        <v>AB551982.1</v>
      </c>
    </row>
    <row r="8" spans="1:7" x14ac:dyDescent="0.35">
      <c r="A8" t="s">
        <v>12</v>
      </c>
      <c r="B8">
        <v>687</v>
      </c>
      <c r="C8">
        <v>687</v>
      </c>
      <c r="D8" s="2">
        <v>0.91</v>
      </c>
      <c r="E8">
        <v>0</v>
      </c>
      <c r="F8">
        <v>59.58</v>
      </c>
      <c r="G8" t="str">
        <f>HYPERLINK("https://www.ncbi.nlm.nih.gov/nucleotide/XM_036779060.1?report=genbank&amp;log$=nucltop&amp;blast_rank=5&amp;RID=5VFV68MB013","XM_036779060.1")</f>
        <v>XM_036779060.1</v>
      </c>
    </row>
    <row r="9" spans="1:7" x14ac:dyDescent="0.35">
      <c r="A9" s="4" t="s">
        <v>13</v>
      </c>
      <c r="B9" s="4">
        <v>684</v>
      </c>
      <c r="C9" s="4">
        <v>684</v>
      </c>
      <c r="D9" s="5">
        <v>0.96</v>
      </c>
      <c r="E9" s="4">
        <v>0</v>
      </c>
      <c r="F9" s="4">
        <v>57.64</v>
      </c>
      <c r="G9" s="4" t="str">
        <f>HYPERLINK("https://www.ncbi.nlm.nih.gov/nucleotide/XM_037359092.1?report=genbank&amp;log$=nucltop&amp;blast_rank=6&amp;RID=5VFV68MB013","XM_037359092.1")</f>
        <v>XM_037359092.1</v>
      </c>
    </row>
    <row r="10" spans="1:7" x14ac:dyDescent="0.35">
      <c r="A10" t="s">
        <v>14</v>
      </c>
      <c r="B10">
        <v>695</v>
      </c>
      <c r="C10">
        <v>695</v>
      </c>
      <c r="D10" s="2">
        <v>0.97</v>
      </c>
      <c r="E10">
        <v>0</v>
      </c>
      <c r="F10">
        <v>56.95</v>
      </c>
      <c r="G10" t="str">
        <f>HYPERLINK("https://www.ncbi.nlm.nih.gov/nucleotide/XM_007330301.1?report=genbank&amp;log$=nucltop&amp;blast_rank=7&amp;RID=5VFV68MB013","XM_007330301.1")</f>
        <v>XM_007330301.1</v>
      </c>
    </row>
    <row r="11" spans="1:7" x14ac:dyDescent="0.35">
      <c r="A11" t="s">
        <v>15</v>
      </c>
      <c r="B11">
        <v>692</v>
      </c>
      <c r="C11">
        <v>692</v>
      </c>
      <c r="D11" s="2">
        <v>0.97</v>
      </c>
      <c r="E11">
        <v>0</v>
      </c>
      <c r="F11">
        <v>56.95</v>
      </c>
      <c r="G11" t="str">
        <f>HYPERLINK("https://www.ncbi.nlm.nih.gov/nucleotide/XM_006459161.1?report=genbank&amp;log$=nucltop&amp;blast_rank=8&amp;RID=5VFV68MB013","XM_006459161.1")</f>
        <v>XM_006459161.1</v>
      </c>
    </row>
    <row r="12" spans="1:7" x14ac:dyDescent="0.35">
      <c r="A12" t="s">
        <v>16</v>
      </c>
      <c r="B12">
        <v>388</v>
      </c>
      <c r="C12">
        <v>1031</v>
      </c>
      <c r="D12" s="2">
        <v>0.97</v>
      </c>
      <c r="E12" s="3">
        <v>5E-176</v>
      </c>
      <c r="F12">
        <v>56.25</v>
      </c>
      <c r="G12" t="str">
        <f>HYPERLINK("https://www.ncbi.nlm.nih.gov/nucleotide/CP039877.1?report=genbank&amp;log$=nucltop&amp;blast_rank=9&amp;RID=5VFV68MB013","CP039877.1")</f>
        <v>CP039877.1</v>
      </c>
    </row>
    <row r="13" spans="1:7" x14ac:dyDescent="0.35">
      <c r="A13" t="s">
        <v>17</v>
      </c>
      <c r="B13">
        <v>388</v>
      </c>
      <c r="C13">
        <v>1031</v>
      </c>
      <c r="D13" s="2">
        <v>0.97</v>
      </c>
      <c r="E13" s="3">
        <v>5E-176</v>
      </c>
      <c r="F13">
        <v>56.25</v>
      </c>
      <c r="G13" t="str">
        <f>HYPERLINK("https://www.ncbi.nlm.nih.gov/nucleotide/CP015461.1?report=genbank&amp;log$=nucltop&amp;blast_rank=10&amp;RID=5VFV68MB013","CP015461.1")</f>
        <v>CP015461.1</v>
      </c>
    </row>
    <row r="14" spans="1:7" x14ac:dyDescent="0.35">
      <c r="A14" t="s">
        <v>18</v>
      </c>
      <c r="B14">
        <v>388</v>
      </c>
      <c r="C14">
        <v>1031</v>
      </c>
      <c r="D14" s="2">
        <v>0.97</v>
      </c>
      <c r="E14" s="3">
        <v>5E-176</v>
      </c>
      <c r="F14">
        <v>56.25</v>
      </c>
      <c r="G14" t="str">
        <f>HYPERLINK("https://www.ncbi.nlm.nih.gov/nucleotide/CP015474.1?report=genbank&amp;log$=nucltop&amp;blast_rank=11&amp;RID=5VFV68MB013","CP015474.1")</f>
        <v>CP015474.1</v>
      </c>
    </row>
    <row r="15" spans="1:7" x14ac:dyDescent="0.35">
      <c r="A15" t="s">
        <v>19</v>
      </c>
      <c r="B15">
        <v>657</v>
      </c>
      <c r="C15">
        <v>657</v>
      </c>
      <c r="D15" s="2">
        <v>0.97</v>
      </c>
      <c r="E15">
        <v>0</v>
      </c>
      <c r="F15">
        <v>53.81</v>
      </c>
      <c r="G15" t="str">
        <f>HYPERLINK("https://www.ncbi.nlm.nih.gov/nucleotide/XM_001880889.1?report=genbank&amp;log$=nucltop&amp;blast_rank=12&amp;RID=5VFV68MB013","XM_001880889.1")</f>
        <v>XM_001880889.1</v>
      </c>
    </row>
    <row r="16" spans="1:7" x14ac:dyDescent="0.35">
      <c r="A16" t="s">
        <v>20</v>
      </c>
      <c r="B16">
        <v>176</v>
      </c>
      <c r="C16">
        <v>424</v>
      </c>
      <c r="D16" s="2">
        <v>0.97</v>
      </c>
      <c r="E16" s="3">
        <v>3.0000000000000001E-95</v>
      </c>
      <c r="F16">
        <v>52.56</v>
      </c>
      <c r="G16" t="str">
        <f>HYPERLINK("https://www.ncbi.nlm.nih.gov/nucleotide/KJ999702.1?report=genbank&amp;log$=nucltop&amp;blast_rank=13&amp;RID=5VFV68MB013","KJ999702.1")</f>
        <v>KJ999702.1</v>
      </c>
    </row>
    <row r="17" spans="1:7" x14ac:dyDescent="0.35">
      <c r="A17" t="s">
        <v>21</v>
      </c>
      <c r="B17">
        <v>619</v>
      </c>
      <c r="C17">
        <v>619</v>
      </c>
      <c r="D17" s="2">
        <v>0.97</v>
      </c>
      <c r="E17">
        <v>0</v>
      </c>
      <c r="F17">
        <v>50.65</v>
      </c>
      <c r="G17" t="str">
        <f>HYPERLINK("https://www.ncbi.nlm.nih.gov/nucleotide/XM_009546986.1?report=genbank&amp;log$=nucltop&amp;blast_rank=14&amp;RID=5VFV68MB013","XM_009546986.1")</f>
        <v>XM_009546986.1</v>
      </c>
    </row>
    <row r="18" spans="1:7" x14ac:dyDescent="0.35">
      <c r="A18" t="s">
        <v>22</v>
      </c>
      <c r="B18">
        <v>486</v>
      </c>
      <c r="C18">
        <v>486</v>
      </c>
      <c r="D18" s="2">
        <v>0.89</v>
      </c>
      <c r="E18" s="3">
        <v>9.9999999999999995E-163</v>
      </c>
      <c r="F18">
        <v>48.3</v>
      </c>
      <c r="G18" t="str">
        <f>HYPERLINK("https://www.ncbi.nlm.nih.gov/nucleotide/XM_001836369.2?report=genbank&amp;log$=nucltop&amp;blast_rank=15&amp;RID=5VFV68MB013","XM_001836369.2")</f>
        <v>XM_001836369.2</v>
      </c>
    </row>
    <row r="19" spans="1:7" x14ac:dyDescent="0.35">
      <c r="A19" t="s">
        <v>23</v>
      </c>
      <c r="B19">
        <v>494</v>
      </c>
      <c r="C19">
        <v>494</v>
      </c>
      <c r="D19" s="2">
        <v>0.97</v>
      </c>
      <c r="E19" s="3">
        <v>3E-162</v>
      </c>
      <c r="F19">
        <v>44.81</v>
      </c>
      <c r="G19" t="str">
        <f>HYPERLINK("https://www.ncbi.nlm.nih.gov/nucleotide/XM_007300021.1?report=genbank&amp;log$=nucltop&amp;blast_rank=16&amp;RID=5VFV68MB013","XM_007300021.1")</f>
        <v>XM_007300021.1</v>
      </c>
    </row>
    <row r="20" spans="1:7" x14ac:dyDescent="0.35">
      <c r="A20" t="s">
        <v>30</v>
      </c>
      <c r="B20">
        <v>184</v>
      </c>
      <c r="C20">
        <v>429</v>
      </c>
      <c r="D20" s="2">
        <v>0.96</v>
      </c>
      <c r="E20" s="3">
        <v>6.9999999999999997E-82</v>
      </c>
      <c r="F20">
        <v>44.33</v>
      </c>
      <c r="G20" t="str">
        <f>HYPERLINK("https://www.ncbi.nlm.nih.gov/nucleotide/CP031825.1?report=genbank&amp;log$=nucltop&amp;blast_rank=17&amp;RID=5VFV68MB013","CP031825.1")</f>
        <v>CP031825.1</v>
      </c>
    </row>
    <row r="21" spans="1:7" x14ac:dyDescent="0.35">
      <c r="A21" t="s">
        <v>31</v>
      </c>
      <c r="B21">
        <v>184</v>
      </c>
      <c r="C21">
        <v>429</v>
      </c>
      <c r="D21" s="2">
        <v>0.96</v>
      </c>
      <c r="E21" s="3">
        <v>6.9999999999999997E-82</v>
      </c>
      <c r="F21">
        <v>44.33</v>
      </c>
      <c r="G21" t="str">
        <f>HYPERLINK("https://www.ncbi.nlm.nih.gov/nucleotide/LK023313.1?report=genbank&amp;log$=nucltop&amp;blast_rank=18&amp;RID=5VFV68MB013","LK023313.1")</f>
        <v>LK023313.1</v>
      </c>
    </row>
    <row r="22" spans="1:7" x14ac:dyDescent="0.35">
      <c r="A22" t="s">
        <v>24</v>
      </c>
      <c r="B22">
        <v>517</v>
      </c>
      <c r="C22">
        <v>517</v>
      </c>
      <c r="D22" s="2">
        <v>0.96</v>
      </c>
      <c r="E22" s="3">
        <v>2.0000000000000001E-173</v>
      </c>
      <c r="F22">
        <v>44.24</v>
      </c>
      <c r="G22" t="str">
        <f>HYPERLINK("https://www.ncbi.nlm.nih.gov/nucleotide/XM_037359093.1?report=genbank&amp;log$=nucltop&amp;blast_rank=19&amp;RID=5VFV68MB013","XM_037359093.1")</f>
        <v>XM_037359093.1</v>
      </c>
    </row>
    <row r="23" spans="1:7" x14ac:dyDescent="0.35">
      <c r="A23" t="s">
        <v>27</v>
      </c>
      <c r="B23">
        <v>174</v>
      </c>
      <c r="C23">
        <v>400</v>
      </c>
      <c r="D23" s="2">
        <v>0.97</v>
      </c>
      <c r="E23" s="3">
        <v>1.9999999999999999E-94</v>
      </c>
      <c r="F23">
        <v>43.92</v>
      </c>
      <c r="G23" t="str">
        <f>HYPERLINK("https://www.ncbi.nlm.nih.gov/nucleotide/CP031830.1?report=genbank&amp;log$=nucltop&amp;blast_rank=20&amp;RID=5VFV68MB013","CP031830.1")</f>
        <v>CP031830.1</v>
      </c>
    </row>
    <row r="24" spans="1:7" x14ac:dyDescent="0.35">
      <c r="A24" t="s">
        <v>28</v>
      </c>
      <c r="B24">
        <v>174</v>
      </c>
      <c r="C24">
        <v>400</v>
      </c>
      <c r="D24" s="2">
        <v>0.97</v>
      </c>
      <c r="E24" s="3">
        <v>1.9999999999999999E-94</v>
      </c>
      <c r="F24">
        <v>43.92</v>
      </c>
      <c r="G24" t="str">
        <f>HYPERLINK("https://www.ncbi.nlm.nih.gov/nucleotide/LK023335.1?report=genbank&amp;log$=nucltop&amp;blast_rank=21&amp;RID=5VFV68MB013","LK023335.1")</f>
        <v>LK023335.1</v>
      </c>
    </row>
    <row r="25" spans="1:7" x14ac:dyDescent="0.35">
      <c r="A25" t="s">
        <v>25</v>
      </c>
      <c r="B25">
        <v>514</v>
      </c>
      <c r="C25">
        <v>514</v>
      </c>
      <c r="D25" s="2">
        <v>0.97</v>
      </c>
      <c r="E25" s="3">
        <v>4.0000000000000002E-172</v>
      </c>
      <c r="F25">
        <v>43.74</v>
      </c>
      <c r="G25" t="str">
        <f>HYPERLINK("https://www.ncbi.nlm.nih.gov/nucleotide/XM_007330400.1?report=genbank&amp;log$=nucltop&amp;blast_rank=22&amp;RID=5VFV68MB013","XM_007330400.1")</f>
        <v>XM_007330400.1</v>
      </c>
    </row>
    <row r="26" spans="1:7" x14ac:dyDescent="0.35">
      <c r="A26" t="s">
        <v>26</v>
      </c>
      <c r="B26">
        <v>513</v>
      </c>
      <c r="C26">
        <v>513</v>
      </c>
      <c r="D26" s="2">
        <v>0.97</v>
      </c>
      <c r="E26" s="3">
        <v>9.9999999999999998E-172</v>
      </c>
      <c r="F26">
        <v>43.58</v>
      </c>
      <c r="G26" t="str">
        <f>HYPERLINK("https://www.ncbi.nlm.nih.gov/nucleotide/XM_006459162.1?report=genbank&amp;log$=nucltop&amp;blast_rank=23&amp;RID=5VFV68MB013","XM_006459162.1")</f>
        <v>XM_006459162.1</v>
      </c>
    </row>
    <row r="27" spans="1:7" x14ac:dyDescent="0.35">
      <c r="A27" t="s">
        <v>29</v>
      </c>
      <c r="B27">
        <v>504</v>
      </c>
      <c r="C27">
        <v>504</v>
      </c>
      <c r="D27" s="2">
        <v>0.98</v>
      </c>
      <c r="E27" s="3">
        <v>1E-168</v>
      </c>
      <c r="F27">
        <v>43.04</v>
      </c>
      <c r="G27" t="str">
        <f>HYPERLINK("https://www.ncbi.nlm.nih.gov/nucleotide/XM_036779059.1?report=genbank&amp;log$=nucltop&amp;blast_rank=24&amp;RID=5VFV68MB013","XM_036779059.1")</f>
        <v>XM_036779059.1</v>
      </c>
    </row>
    <row r="28" spans="1:7" x14ac:dyDescent="0.35">
      <c r="A28" t="s">
        <v>21</v>
      </c>
      <c r="B28">
        <v>494</v>
      </c>
      <c r="C28">
        <v>494</v>
      </c>
      <c r="D28" s="2">
        <v>0.97</v>
      </c>
      <c r="E28" s="3">
        <v>1.9999999999999998E-163</v>
      </c>
      <c r="F28">
        <v>41.98</v>
      </c>
      <c r="G28" t="str">
        <f>HYPERLINK("https://www.ncbi.nlm.nih.gov/nucleotide/XM_009546985.1?report=genbank&amp;log$=nucltop&amp;blast_rank=25&amp;RID=5VFV68MB013","XM_009546985.1")</f>
        <v>XM_009546985.1</v>
      </c>
    </row>
    <row r="29" spans="1:7" x14ac:dyDescent="0.35">
      <c r="A29" t="s">
        <v>32</v>
      </c>
      <c r="B29">
        <v>468</v>
      </c>
      <c r="C29">
        <v>468</v>
      </c>
      <c r="D29" s="2">
        <v>0.97</v>
      </c>
      <c r="E29" s="3">
        <v>3.0000000000000002E-151</v>
      </c>
      <c r="F29">
        <v>41.65</v>
      </c>
      <c r="G29" t="str">
        <f>HYPERLINK("https://www.ncbi.nlm.nih.gov/nucleotide/XM_018429091.1?report=genbank&amp;log$=nucltop&amp;blast_rank=26&amp;RID=5VFV68MB013","XM_018429091.1")</f>
        <v>XM_018429091.1</v>
      </c>
    </row>
    <row r="30" spans="1:7" x14ac:dyDescent="0.35">
      <c r="A30" t="s">
        <v>33</v>
      </c>
      <c r="B30">
        <v>468</v>
      </c>
      <c r="C30">
        <v>468</v>
      </c>
      <c r="D30" s="2">
        <v>0.96</v>
      </c>
      <c r="E30" s="3">
        <v>3E-153</v>
      </c>
      <c r="F30">
        <v>40.25</v>
      </c>
      <c r="G30" t="str">
        <f>HYPERLINK("https://www.ncbi.nlm.nih.gov/nucleotide/XM_007300020.1?report=genbank&amp;log$=nucltop&amp;blast_rank=27&amp;RID=5VFV68MB013","XM_007300020.1")</f>
        <v>XM_007300020.1</v>
      </c>
    </row>
    <row r="31" spans="1:7" x14ac:dyDescent="0.35">
      <c r="A31" t="s">
        <v>34</v>
      </c>
      <c r="B31">
        <v>449</v>
      </c>
      <c r="C31">
        <v>449</v>
      </c>
      <c r="D31" s="2">
        <v>0.97</v>
      </c>
      <c r="E31" s="3">
        <v>7.9999999999999998E-147</v>
      </c>
      <c r="F31">
        <v>39.799999999999997</v>
      </c>
      <c r="G31" t="str">
        <f>HYPERLINK("https://www.ncbi.nlm.nih.gov/nucleotide/XM_001836368.2?report=genbank&amp;log$=nucltop&amp;blast_rank=28&amp;RID=5VFV68MB013","XM_001836368.2")</f>
        <v>XM_001836368.2</v>
      </c>
    </row>
    <row r="32" spans="1:7" x14ac:dyDescent="0.35">
      <c r="A32" t="s">
        <v>19</v>
      </c>
      <c r="B32">
        <v>472</v>
      </c>
      <c r="C32">
        <v>472</v>
      </c>
      <c r="D32" s="2">
        <v>0.97</v>
      </c>
      <c r="E32" s="3">
        <v>5.0000000000000001E-156</v>
      </c>
      <c r="F32">
        <v>39.64</v>
      </c>
      <c r="G32" t="str">
        <f>HYPERLINK("https://www.ncbi.nlm.nih.gov/nucleotide/XM_001880890.1?report=genbank&amp;log$=nucltop&amp;blast_rank=29&amp;RID=5VFV68MB013","XM_001880890.1")</f>
        <v>XM_001880890.1</v>
      </c>
    </row>
    <row r="33" spans="1:7" x14ac:dyDescent="0.35">
      <c r="A33" t="s">
        <v>35</v>
      </c>
      <c r="B33">
        <v>442</v>
      </c>
      <c r="C33">
        <v>442</v>
      </c>
      <c r="D33" s="2">
        <v>0.97</v>
      </c>
      <c r="E33" s="3">
        <v>2.9999999999999999E-144</v>
      </c>
      <c r="F33">
        <v>39.32</v>
      </c>
      <c r="G33" t="str">
        <f>HYPERLINK("https://www.ncbi.nlm.nih.gov/nucleotide/XM_023610462.1?report=genbank&amp;log$=nucltop&amp;blast_rank=30&amp;RID=5VFV68MB013","XM_023610462.1")</f>
        <v>XM_023610462.1</v>
      </c>
    </row>
    <row r="34" spans="1:7" x14ac:dyDescent="0.35">
      <c r="A34" t="s">
        <v>37</v>
      </c>
      <c r="B34">
        <v>311</v>
      </c>
      <c r="C34">
        <v>311</v>
      </c>
      <c r="D34" s="2">
        <v>0.93</v>
      </c>
      <c r="E34" s="3">
        <v>7.0000000000000002E-88</v>
      </c>
      <c r="F34">
        <v>36.130000000000003</v>
      </c>
      <c r="G34" t="str">
        <f>HYPERLINK("https://www.ncbi.nlm.nih.gov/nucleotide/LR732085.1?report=genbank&amp;log$=nucltop&amp;blast_rank=31&amp;RID=5VFV68MB013","LR732085.1")</f>
        <v>LR732085.1</v>
      </c>
    </row>
    <row r="35" spans="1:7" x14ac:dyDescent="0.35">
      <c r="A35" t="s">
        <v>39</v>
      </c>
      <c r="B35">
        <v>359</v>
      </c>
      <c r="C35">
        <v>359</v>
      </c>
      <c r="D35" s="2">
        <v>0.97</v>
      </c>
      <c r="E35" s="3">
        <v>1.0000000000000001E-111</v>
      </c>
      <c r="F35">
        <v>35.44</v>
      </c>
      <c r="G35" t="str">
        <f>HYPERLINK("https://www.ncbi.nlm.nih.gov/nucleotide/XM_025316703.1?report=genbank&amp;log$=nucltop&amp;blast_rank=32&amp;RID=5VFV68MB013","XM_025316703.1")</f>
        <v>XM_025316703.1</v>
      </c>
    </row>
    <row r="36" spans="1:7" x14ac:dyDescent="0.35">
      <c r="A36" t="s">
        <v>36</v>
      </c>
      <c r="B36">
        <v>105</v>
      </c>
      <c r="C36">
        <v>186</v>
      </c>
      <c r="D36" s="2">
        <v>0.67</v>
      </c>
      <c r="E36" s="3">
        <v>9.9999999999999994E-37</v>
      </c>
      <c r="F36">
        <v>35.43</v>
      </c>
      <c r="G36" t="str">
        <f>HYPERLINK("https://www.ncbi.nlm.nih.gov/nucleotide/AM270105.1?report=genbank&amp;log$=nucltop&amp;blast_rank=33&amp;RID=5VFV68MB013","AM270105.1")</f>
        <v>AM270105.1</v>
      </c>
    </row>
    <row r="37" spans="1:7" x14ac:dyDescent="0.35">
      <c r="A37" t="s">
        <v>774</v>
      </c>
      <c r="B37">
        <v>100</v>
      </c>
      <c r="C37">
        <v>179</v>
      </c>
      <c r="D37" s="2">
        <v>0.65</v>
      </c>
      <c r="E37" s="3">
        <v>9.9999999999999993E-35</v>
      </c>
      <c r="F37">
        <v>35</v>
      </c>
      <c r="G37" t="str">
        <f>HYPERLINK("https://www.ncbi.nlm.nih.gov/nucleotide/AP024441.1?report=genbank&amp;log$=nucltop&amp;blast_rank=34&amp;RID=5VFV68MB013","AP024441.1")</f>
        <v>AP024441.1</v>
      </c>
    </row>
    <row r="38" spans="1:7" x14ac:dyDescent="0.35">
      <c r="A38" t="s">
        <v>775</v>
      </c>
      <c r="B38">
        <v>100</v>
      </c>
      <c r="C38">
        <v>179</v>
      </c>
      <c r="D38" s="2">
        <v>0.65</v>
      </c>
      <c r="E38" s="3">
        <v>9.9999999999999993E-35</v>
      </c>
      <c r="F38">
        <v>35</v>
      </c>
      <c r="G38" t="str">
        <f>HYPERLINK("https://www.ncbi.nlm.nih.gov/nucleotide/AP024432.1?report=genbank&amp;log$=nucltop&amp;blast_rank=35&amp;RID=5VFV68MB013","AP024432.1")</f>
        <v>AP024432.1</v>
      </c>
    </row>
    <row r="39" spans="1:7" x14ac:dyDescent="0.35">
      <c r="A39" t="s">
        <v>38</v>
      </c>
      <c r="B39">
        <v>166</v>
      </c>
      <c r="C39">
        <v>166</v>
      </c>
      <c r="D39" s="2">
        <v>0.48</v>
      </c>
      <c r="E39" s="3">
        <v>2E-41</v>
      </c>
      <c r="F39">
        <v>34.39</v>
      </c>
      <c r="G39" t="str">
        <f>HYPERLINK("https://www.ncbi.nlm.nih.gov/nucleotide/XM_001221435.1?report=genbank&amp;log$=nucltop&amp;blast_rank=36&amp;RID=5VFV68MB013","XM_001221435.1")</f>
        <v>XM_001221435.1</v>
      </c>
    </row>
    <row r="40" spans="1:7" x14ac:dyDescent="0.35">
      <c r="A40" t="s">
        <v>45</v>
      </c>
      <c r="B40">
        <v>208</v>
      </c>
      <c r="C40">
        <v>208</v>
      </c>
      <c r="D40" s="2">
        <v>0.7</v>
      </c>
      <c r="E40" s="3">
        <v>2E-55</v>
      </c>
      <c r="F40">
        <v>34.31</v>
      </c>
      <c r="G40" t="str">
        <f>HYPERLINK("https://www.ncbi.nlm.nih.gov/nucleotide/XM_007926421.1?report=genbank&amp;log$=nucltop&amp;blast_rank=37&amp;RID=5VFV68MB013","XM_007926421.1")</f>
        <v>XM_007926421.1</v>
      </c>
    </row>
    <row r="41" spans="1:7" x14ac:dyDescent="0.35">
      <c r="A41" t="s">
        <v>43</v>
      </c>
      <c r="B41">
        <v>184</v>
      </c>
      <c r="C41">
        <v>184</v>
      </c>
      <c r="D41" s="2">
        <v>0.67</v>
      </c>
      <c r="E41" s="3">
        <v>7.9999999999999998E-47</v>
      </c>
      <c r="F41">
        <v>33.869999999999997</v>
      </c>
      <c r="G41" t="str">
        <f>HYPERLINK("https://www.ncbi.nlm.nih.gov/nucleotide/XM_022549209.1?report=genbank&amp;log$=nucltop&amp;blast_rank=38&amp;RID=5VFV68MB013","XM_022549209.1")</f>
        <v>XM_022549209.1</v>
      </c>
    </row>
    <row r="42" spans="1:7" x14ac:dyDescent="0.35">
      <c r="A42" t="s">
        <v>52</v>
      </c>
      <c r="B42">
        <v>145</v>
      </c>
      <c r="C42">
        <v>145</v>
      </c>
      <c r="D42" s="2">
        <v>0.53</v>
      </c>
      <c r="E42" s="3">
        <v>1.9999999999999999E-34</v>
      </c>
      <c r="F42">
        <v>33.43</v>
      </c>
      <c r="G42" t="str">
        <f>HYPERLINK("https://www.ncbi.nlm.nih.gov/nucleotide/XM_003857413.1?report=genbank&amp;log$=nucltop&amp;blast_rank=39&amp;RID=5VFV68MB013","XM_003857413.1")</f>
        <v>XM_003857413.1</v>
      </c>
    </row>
    <row r="43" spans="1:7" x14ac:dyDescent="0.35">
      <c r="A43" t="s">
        <v>491</v>
      </c>
      <c r="B43">
        <v>187</v>
      </c>
      <c r="C43">
        <v>187</v>
      </c>
      <c r="D43" s="2">
        <v>0.71</v>
      </c>
      <c r="E43" s="3">
        <v>5.9999999999999998E-48</v>
      </c>
      <c r="F43">
        <v>33.119999999999997</v>
      </c>
      <c r="G43" t="str">
        <f>HYPERLINK("https://www.ncbi.nlm.nih.gov/nucleotide/XM_039068458.1?report=genbank&amp;log$=nucltop&amp;blast_rank=40&amp;RID=5VFV68MB013","XM_039068458.1")</f>
        <v>XM_039068458.1</v>
      </c>
    </row>
    <row r="44" spans="1:7" x14ac:dyDescent="0.35">
      <c r="A44" t="s">
        <v>44</v>
      </c>
      <c r="B44">
        <v>177</v>
      </c>
      <c r="C44">
        <v>177</v>
      </c>
      <c r="D44" s="2">
        <v>0.62</v>
      </c>
      <c r="E44" s="3">
        <v>3.0000000000000001E-45</v>
      </c>
      <c r="F44">
        <v>33.08</v>
      </c>
      <c r="G44" t="str">
        <f>HYPERLINK("https://www.ncbi.nlm.nih.gov/nucleotide/XM_033572072.1?report=genbank&amp;log$=nucltop&amp;blast_rank=41&amp;RID=5VFV68MB013","XM_033572072.1")</f>
        <v>XM_033572072.1</v>
      </c>
    </row>
    <row r="45" spans="1:7" x14ac:dyDescent="0.35">
      <c r="A45" t="s">
        <v>42</v>
      </c>
      <c r="B45">
        <v>194</v>
      </c>
      <c r="C45">
        <v>194</v>
      </c>
      <c r="D45" s="2">
        <v>0.68</v>
      </c>
      <c r="E45" s="3">
        <v>2.9999999999999999E-50</v>
      </c>
      <c r="F45">
        <v>32.96</v>
      </c>
      <c r="G45" t="str">
        <f>HYPERLINK("https://www.ncbi.nlm.nih.gov/nucleotide/XM_015554209.1?report=genbank&amp;log$=nucltop&amp;blast_rank=42&amp;RID=5VFV68MB013","XM_015554209.1")</f>
        <v>XM_015554209.1</v>
      </c>
    </row>
    <row r="46" spans="1:7" x14ac:dyDescent="0.35">
      <c r="A46" t="s">
        <v>54</v>
      </c>
      <c r="B46">
        <v>148</v>
      </c>
      <c r="C46">
        <v>179</v>
      </c>
      <c r="D46" s="2">
        <v>0.65</v>
      </c>
      <c r="E46" s="3">
        <v>1.9999999999999999E-34</v>
      </c>
      <c r="F46">
        <v>32.880000000000003</v>
      </c>
      <c r="G46" t="str">
        <f>HYPERLINK("https://www.ncbi.nlm.nih.gov/nucleotide/LT853692.1?report=genbank&amp;log$=nucltop&amp;blast_rank=43&amp;RID=5VFV68MB013","LT853692.1")</f>
        <v>LT853692.1</v>
      </c>
    </row>
    <row r="47" spans="1:7" x14ac:dyDescent="0.35">
      <c r="A47" s="4" t="s">
        <v>41</v>
      </c>
      <c r="B47" s="4">
        <v>185</v>
      </c>
      <c r="C47" s="4">
        <v>185</v>
      </c>
      <c r="D47" s="5">
        <v>0.71</v>
      </c>
      <c r="E47" s="6">
        <v>6.0000000000000003E-47</v>
      </c>
      <c r="F47" s="4">
        <v>32.76</v>
      </c>
      <c r="G47" s="4" t="str">
        <f>HYPERLINK("https://www.ncbi.nlm.nih.gov/nucleotide/XM_032045412.1?report=genbank&amp;log$=nucltop&amp;blast_rank=44&amp;RID=5VFV68MB013","XM_032045412.1")</f>
        <v>XM_032045412.1</v>
      </c>
    </row>
    <row r="48" spans="1:7" x14ac:dyDescent="0.35">
      <c r="A48" t="s">
        <v>40</v>
      </c>
      <c r="B48">
        <v>197</v>
      </c>
      <c r="C48">
        <v>197</v>
      </c>
      <c r="D48" s="2">
        <v>0.68</v>
      </c>
      <c r="E48" s="3">
        <v>2E-51</v>
      </c>
      <c r="F48">
        <v>32.590000000000003</v>
      </c>
      <c r="G48" t="str">
        <f>HYPERLINK("https://www.ncbi.nlm.nih.gov/nucleotide/XM_022531473.1?report=genbank&amp;log$=nucltop&amp;blast_rank=45&amp;RID=5VFV68MB013","XM_022531473.1")</f>
        <v>XM_022531473.1</v>
      </c>
    </row>
    <row r="49" spans="1:7" x14ac:dyDescent="0.35">
      <c r="A49" t="s">
        <v>49</v>
      </c>
      <c r="B49">
        <v>154</v>
      </c>
      <c r="C49">
        <v>154</v>
      </c>
      <c r="D49" s="2">
        <v>0.61</v>
      </c>
      <c r="E49" s="3">
        <v>5E-36</v>
      </c>
      <c r="F49">
        <v>32.479999999999997</v>
      </c>
      <c r="G49" t="str">
        <f>HYPERLINK("https://www.ncbi.nlm.nih.gov/nucleotide/XM_001217916.1?report=genbank&amp;log$=nucltop&amp;blast_rank=46&amp;RID=5VFV68MB013","XM_001217916.1")</f>
        <v>XM_001217916.1</v>
      </c>
    </row>
    <row r="50" spans="1:7" x14ac:dyDescent="0.35">
      <c r="A50" t="s">
        <v>50</v>
      </c>
      <c r="B50">
        <v>199</v>
      </c>
      <c r="C50">
        <v>199</v>
      </c>
      <c r="D50" s="2">
        <v>0.68</v>
      </c>
      <c r="E50" s="3">
        <v>4E-52</v>
      </c>
      <c r="F50">
        <v>32.43</v>
      </c>
      <c r="G50" t="str">
        <f>HYPERLINK("https://www.ncbi.nlm.nih.gov/nucleotide/XM_032058508.1?report=genbank&amp;log$=nucltop&amp;blast_rank=47&amp;RID=5VFV68MB013","XM_032058508.1")</f>
        <v>XM_032058508.1</v>
      </c>
    </row>
    <row r="51" spans="1:7" x14ac:dyDescent="0.35">
      <c r="A51" t="s">
        <v>48</v>
      </c>
      <c r="B51">
        <v>194</v>
      </c>
      <c r="C51">
        <v>194</v>
      </c>
      <c r="D51" s="2">
        <v>0.68</v>
      </c>
      <c r="E51" s="3">
        <v>3E-49</v>
      </c>
      <c r="F51">
        <v>32.39</v>
      </c>
      <c r="G51" t="str">
        <f>HYPERLINK("https://www.ncbi.nlm.nih.gov/nucleotide/XM_009499650.1?report=genbank&amp;log$=nucltop&amp;blast_rank=48&amp;RID=5VFV68MB013","XM_009499650.1")</f>
        <v>XM_009499650.1</v>
      </c>
    </row>
    <row r="52" spans="1:7" x14ac:dyDescent="0.35">
      <c r="A52" s="4" t="s">
        <v>793</v>
      </c>
      <c r="B52" s="4">
        <v>191</v>
      </c>
      <c r="C52" s="4">
        <v>191</v>
      </c>
      <c r="D52" s="5">
        <v>0.68</v>
      </c>
      <c r="E52" s="6">
        <v>3E-49</v>
      </c>
      <c r="F52" s="4">
        <v>32.36</v>
      </c>
      <c r="G52" s="4" t="str">
        <f>HYPERLINK("https://www.ncbi.nlm.nih.gov/nucleotide/XM_032089869.1?report=genbank&amp;log$=nucltop&amp;blast_rank=49&amp;RID=5VFV68MB013","XM_032089869.1")</f>
        <v>XM_032089869.1</v>
      </c>
    </row>
    <row r="53" spans="1:7" x14ac:dyDescent="0.35">
      <c r="A53" t="s">
        <v>57</v>
      </c>
      <c r="B53">
        <v>147</v>
      </c>
      <c r="C53">
        <v>179</v>
      </c>
      <c r="D53" s="2">
        <v>0.65</v>
      </c>
      <c r="E53" s="3">
        <v>1.9999999999999999E-34</v>
      </c>
      <c r="F53">
        <v>32.35</v>
      </c>
      <c r="G53" t="str">
        <f>HYPERLINK("https://www.ncbi.nlm.nih.gov/nucleotide/LT854253.1?report=genbank&amp;log$=nucltop&amp;blast_rank=50&amp;RID=5VFV68MB013","LT854253.1")</f>
        <v>LT854253.1</v>
      </c>
    </row>
    <row r="54" spans="1:7" x14ac:dyDescent="0.35">
      <c r="A54" t="s">
        <v>58</v>
      </c>
      <c r="B54">
        <v>147</v>
      </c>
      <c r="C54">
        <v>178</v>
      </c>
      <c r="D54" s="2">
        <v>0.65</v>
      </c>
      <c r="E54" s="3">
        <v>3E-34</v>
      </c>
      <c r="F54">
        <v>32.35</v>
      </c>
      <c r="G54" t="str">
        <f>HYPERLINK("https://www.ncbi.nlm.nih.gov/nucleotide/LT854273.1?report=genbank&amp;log$=nucltop&amp;blast_rank=51&amp;RID=5VFV68MB013","LT854273.1")</f>
        <v>LT854273.1</v>
      </c>
    </row>
    <row r="55" spans="1:7" x14ac:dyDescent="0.35">
      <c r="A55" t="s">
        <v>59</v>
      </c>
      <c r="B55">
        <v>147</v>
      </c>
      <c r="C55">
        <v>178</v>
      </c>
      <c r="D55" s="2">
        <v>0.65</v>
      </c>
      <c r="E55" s="3">
        <v>3E-34</v>
      </c>
      <c r="F55">
        <v>32.35</v>
      </c>
      <c r="G55" t="str">
        <f>HYPERLINK("https://www.ncbi.nlm.nih.gov/nucleotide/LT882676.1?report=genbank&amp;log$=nucltop&amp;blast_rank=52&amp;RID=5VFV68MB013","LT882676.1")</f>
        <v>LT882676.1</v>
      </c>
    </row>
    <row r="56" spans="1:7" x14ac:dyDescent="0.35">
      <c r="A56" t="s">
        <v>55</v>
      </c>
      <c r="B56">
        <v>185</v>
      </c>
      <c r="C56">
        <v>185</v>
      </c>
      <c r="D56" s="2">
        <v>0.67</v>
      </c>
      <c r="E56" s="3">
        <v>7.9999999999999998E-47</v>
      </c>
      <c r="F56">
        <v>32.270000000000003</v>
      </c>
      <c r="G56" t="str">
        <f>HYPERLINK("https://www.ncbi.nlm.nih.gov/nucleotide/XM_032074407.1?report=genbank&amp;log$=nucltop&amp;blast_rank=53&amp;RID=5VFV68MB013","XM_032074407.1")</f>
        <v>XM_032074407.1</v>
      </c>
    </row>
    <row r="57" spans="1:7" x14ac:dyDescent="0.35">
      <c r="A57" t="s">
        <v>51</v>
      </c>
      <c r="B57">
        <v>188</v>
      </c>
      <c r="C57">
        <v>188</v>
      </c>
      <c r="D57" s="2">
        <v>0.67</v>
      </c>
      <c r="E57" s="3">
        <v>3.9999999999999999E-48</v>
      </c>
      <c r="F57">
        <v>32.26</v>
      </c>
      <c r="G57" t="str">
        <f>HYPERLINK("https://www.ncbi.nlm.nih.gov/nucleotide/XM_025528552.1?report=genbank&amp;log$=nucltop&amp;blast_rank=54&amp;RID=5VFV68MB013","XM_025528552.1")</f>
        <v>XM_025528552.1</v>
      </c>
    </row>
    <row r="58" spans="1:7" x14ac:dyDescent="0.35">
      <c r="A58" s="4" t="s">
        <v>65</v>
      </c>
      <c r="B58" s="4">
        <v>192</v>
      </c>
      <c r="C58" s="4">
        <v>192</v>
      </c>
      <c r="D58" s="5">
        <v>0.67</v>
      </c>
      <c r="E58" s="6">
        <v>3E-49</v>
      </c>
      <c r="F58" s="4">
        <v>32.25</v>
      </c>
      <c r="G58" s="4" t="str">
        <f>HYPERLINK("https://www.ncbi.nlm.nih.gov/nucleotide/XM_026774556.1?report=genbank&amp;log$=nucltop&amp;blast_rank=55&amp;RID=5VFV68MB013","XM_026774556.1")</f>
        <v>XM_026774556.1</v>
      </c>
    </row>
    <row r="59" spans="1:7" x14ac:dyDescent="0.35">
      <c r="A59" t="s">
        <v>794</v>
      </c>
      <c r="B59">
        <v>175</v>
      </c>
      <c r="C59">
        <v>175</v>
      </c>
      <c r="D59" s="2">
        <v>0.67</v>
      </c>
      <c r="E59" s="3">
        <v>1E-41</v>
      </c>
      <c r="F59">
        <v>32.25</v>
      </c>
      <c r="G59" t="str">
        <f>HYPERLINK("https://www.ncbi.nlm.nih.gov/nucleotide/AP024419.1?report=genbank&amp;log$=nucltop&amp;blast_rank=56&amp;RID=5VFV68MB013","AP024419.1")</f>
        <v>AP024419.1</v>
      </c>
    </row>
    <row r="60" spans="1:7" x14ac:dyDescent="0.35">
      <c r="A60" t="s">
        <v>795</v>
      </c>
      <c r="B60">
        <v>175</v>
      </c>
      <c r="C60">
        <v>175</v>
      </c>
      <c r="D60" s="2">
        <v>0.66</v>
      </c>
      <c r="E60" s="3">
        <v>9.0000000000000002E-42</v>
      </c>
      <c r="F60">
        <v>31.91</v>
      </c>
      <c r="G60" t="str">
        <f>HYPERLINK("https://www.ncbi.nlm.nih.gov/nucleotide/AP024418.1?report=genbank&amp;log$=nucltop&amp;blast_rank=57&amp;RID=5VFV68MB013","AP024418.1")</f>
        <v>AP024418.1</v>
      </c>
    </row>
    <row r="61" spans="1:7" x14ac:dyDescent="0.35">
      <c r="A61" t="s">
        <v>68</v>
      </c>
      <c r="B61">
        <v>145</v>
      </c>
      <c r="C61">
        <v>145</v>
      </c>
      <c r="D61" s="2">
        <v>0.59</v>
      </c>
      <c r="E61" s="3">
        <v>3.9999999999999997E-34</v>
      </c>
      <c r="F61">
        <v>31.68</v>
      </c>
      <c r="G61" t="str">
        <f>HYPERLINK("https://www.ncbi.nlm.nih.gov/nucleotide/XM_001262908.1?report=genbank&amp;log$=nucltop&amp;blast_rank=58&amp;RID=5VFV68MB013","XM_001262908.1")</f>
        <v>XM_001262908.1</v>
      </c>
    </row>
    <row r="62" spans="1:7" x14ac:dyDescent="0.35">
      <c r="A62" t="s">
        <v>53</v>
      </c>
      <c r="B62">
        <v>182</v>
      </c>
      <c r="C62">
        <v>182</v>
      </c>
      <c r="D62" s="2">
        <v>0.67</v>
      </c>
      <c r="E62" s="3">
        <v>2E-45</v>
      </c>
      <c r="F62">
        <v>31.42</v>
      </c>
      <c r="G62" t="str">
        <f>HYPERLINK("https://www.ncbi.nlm.nih.gov/nucleotide/XM_025704096.1?report=genbank&amp;log$=nucltop&amp;blast_rank=59&amp;RID=5VFV68MB013","XM_025704096.1")</f>
        <v>XM_025704096.1</v>
      </c>
    </row>
    <row r="63" spans="1:7" x14ac:dyDescent="0.35">
      <c r="A63" t="s">
        <v>56</v>
      </c>
      <c r="B63">
        <v>176</v>
      </c>
      <c r="C63">
        <v>176</v>
      </c>
      <c r="D63" s="2">
        <v>0.67</v>
      </c>
      <c r="E63" s="3">
        <v>1.9999999999999999E-44</v>
      </c>
      <c r="F63">
        <v>31.31</v>
      </c>
      <c r="G63" t="str">
        <f>HYPERLINK("https://www.ncbi.nlm.nih.gov/nucleotide/XM_024844676.1?report=genbank&amp;log$=nucltop&amp;blast_rank=60&amp;RID=5VFV68MB013","XM_024844676.1")</f>
        <v>XM_024844676.1</v>
      </c>
    </row>
    <row r="64" spans="1:7" x14ac:dyDescent="0.35">
      <c r="A64" t="s">
        <v>64</v>
      </c>
      <c r="B64">
        <v>152</v>
      </c>
      <c r="C64">
        <v>152</v>
      </c>
      <c r="D64" s="2">
        <v>0.68</v>
      </c>
      <c r="E64" s="3">
        <v>8.0000000000000001E-35</v>
      </c>
      <c r="F64">
        <v>31.01</v>
      </c>
      <c r="G64" t="str">
        <f>HYPERLINK("https://www.ncbi.nlm.nih.gov/nucleotide/XM_025524425.1?report=genbank&amp;log$=nucltop&amp;blast_rank=61&amp;RID=5VFV68MB013","XM_025524425.1")</f>
        <v>XM_025524425.1</v>
      </c>
    </row>
    <row r="65" spans="1:7" x14ac:dyDescent="0.35">
      <c r="A65" s="4" t="s">
        <v>60</v>
      </c>
      <c r="B65" s="4">
        <v>173</v>
      </c>
      <c r="C65" s="4">
        <v>173</v>
      </c>
      <c r="D65" s="5">
        <v>0.67</v>
      </c>
      <c r="E65" s="6">
        <v>3.0000000000000003E-42</v>
      </c>
      <c r="F65" s="4">
        <v>30.99</v>
      </c>
      <c r="G65" s="4" t="str">
        <f>HYPERLINK("https://www.ncbi.nlm.nih.gov/nucleotide/XM_035498527.1?report=genbank&amp;log$=nucltop&amp;blast_rank=62&amp;RID=5VFV68MB013","XM_035498527.1")</f>
        <v>XM_035498527.1</v>
      </c>
    </row>
    <row r="66" spans="1:7" x14ac:dyDescent="0.35">
      <c r="A66" t="s">
        <v>78</v>
      </c>
      <c r="B66">
        <v>148</v>
      </c>
      <c r="C66">
        <v>148</v>
      </c>
      <c r="D66" s="2">
        <v>0.62</v>
      </c>
      <c r="E66" s="3">
        <v>4E-35</v>
      </c>
      <c r="F66">
        <v>30.77</v>
      </c>
      <c r="G66" t="str">
        <f>HYPERLINK("https://www.ncbi.nlm.nih.gov/nucleotide/XM_001262909.1?report=genbank&amp;log$=nucltop&amp;blast_rank=63&amp;RID=5VFV68MB013","XM_001262909.1")</f>
        <v>XM_001262909.1</v>
      </c>
    </row>
    <row r="67" spans="1:7" x14ac:dyDescent="0.35">
      <c r="A67" t="s">
        <v>84</v>
      </c>
      <c r="B67">
        <v>168</v>
      </c>
      <c r="C67">
        <v>168</v>
      </c>
      <c r="D67" s="2">
        <v>0.68</v>
      </c>
      <c r="E67" s="3">
        <v>6.9999999999999999E-41</v>
      </c>
      <c r="F67">
        <v>30.59</v>
      </c>
      <c r="G67" t="str">
        <f>HYPERLINK("https://www.ncbi.nlm.nih.gov/nucleotide/XM_023599633.1?report=genbank&amp;log$=nucltop&amp;blast_rank=64&amp;RID=5VFV68MB013","XM_023599633.1")</f>
        <v>XM_023599633.1</v>
      </c>
    </row>
    <row r="68" spans="1:7" x14ac:dyDescent="0.35">
      <c r="A68" t="s">
        <v>66</v>
      </c>
      <c r="B68">
        <v>167</v>
      </c>
      <c r="C68">
        <v>167</v>
      </c>
      <c r="D68" s="2">
        <v>0.67</v>
      </c>
      <c r="E68" s="3">
        <v>5.9999999999999998E-41</v>
      </c>
      <c r="F68">
        <v>30.43</v>
      </c>
      <c r="G68" t="str">
        <f>HYPERLINK("https://www.ncbi.nlm.nih.gov/nucleotide/XM_035498118.1?report=genbank&amp;log$=nucltop&amp;blast_rank=65&amp;RID=5VFV68MB013","XM_035498118.1")</f>
        <v>XM_035498118.1</v>
      </c>
    </row>
    <row r="69" spans="1:7" x14ac:dyDescent="0.35">
      <c r="A69" t="s">
        <v>62</v>
      </c>
      <c r="B69">
        <v>132</v>
      </c>
      <c r="C69">
        <v>132</v>
      </c>
      <c r="D69" s="2">
        <v>0.51</v>
      </c>
      <c r="E69" s="3">
        <v>3E-28</v>
      </c>
      <c r="F69">
        <v>29.89</v>
      </c>
      <c r="G69" t="str">
        <f>HYPERLINK("https://www.ncbi.nlm.nih.gov/nucleotide/XM_025673733.1?report=genbank&amp;log$=nucltop&amp;blast_rank=66&amp;RID=5VFV68MB013","XM_025673733.1")</f>
        <v>XM_025673733.1</v>
      </c>
    </row>
    <row r="70" spans="1:7" x14ac:dyDescent="0.35">
      <c r="A70" t="s">
        <v>69</v>
      </c>
      <c r="B70">
        <v>190</v>
      </c>
      <c r="C70">
        <v>190</v>
      </c>
      <c r="D70" s="2">
        <v>0.84</v>
      </c>
      <c r="E70" s="3">
        <v>9.9999999999999997E-49</v>
      </c>
      <c r="F70">
        <v>29.85</v>
      </c>
      <c r="G70" t="str">
        <f>HYPERLINK("https://www.ncbi.nlm.nih.gov/nucleotide/XM_001390712.2?report=genbank&amp;log$=nucltop&amp;blast_rank=67&amp;RID=5VFV68MB013","XM_001390712.2")</f>
        <v>XM_001390712.2</v>
      </c>
    </row>
    <row r="71" spans="1:7" x14ac:dyDescent="0.35">
      <c r="A71" t="s">
        <v>61</v>
      </c>
      <c r="B71">
        <v>166</v>
      </c>
      <c r="C71">
        <v>166</v>
      </c>
      <c r="D71" s="2">
        <v>0.75</v>
      </c>
      <c r="E71" s="3">
        <v>1.9999999999999999E-40</v>
      </c>
      <c r="F71">
        <v>29.67</v>
      </c>
      <c r="G71" t="str">
        <f>HYPERLINK("https://www.ncbi.nlm.nih.gov/nucleotide/XM_024831712.1?report=genbank&amp;log$=nucltop&amp;blast_rank=68&amp;RID=5VFV68MB013","XM_024831712.1")</f>
        <v>XM_024831712.1</v>
      </c>
    </row>
    <row r="72" spans="1:7" x14ac:dyDescent="0.35">
      <c r="A72" t="s">
        <v>67</v>
      </c>
      <c r="B72">
        <v>128</v>
      </c>
      <c r="C72">
        <v>128</v>
      </c>
      <c r="D72" s="2">
        <v>0.52</v>
      </c>
      <c r="E72" s="3">
        <v>6.0000000000000002E-27</v>
      </c>
      <c r="F72">
        <v>29.63</v>
      </c>
      <c r="G72" t="str">
        <f>HYPERLINK("https://www.ncbi.nlm.nih.gov/nucleotide/XM_025589412.1?report=genbank&amp;log$=nucltop&amp;blast_rank=69&amp;RID=5VFV68MB013","XM_025589412.1")</f>
        <v>XM_025589412.1</v>
      </c>
    </row>
    <row r="73" spans="1:7" x14ac:dyDescent="0.35">
      <c r="A73" t="s">
        <v>63</v>
      </c>
      <c r="B73">
        <v>132</v>
      </c>
      <c r="C73">
        <v>132</v>
      </c>
      <c r="D73" s="2">
        <v>0.51</v>
      </c>
      <c r="E73" s="3">
        <v>1.9999999999999999E-28</v>
      </c>
      <c r="F73">
        <v>29.6</v>
      </c>
      <c r="G73" t="str">
        <f>HYPERLINK("https://www.ncbi.nlm.nih.gov/nucleotide/XM_025640972.1?report=genbank&amp;log$=nucltop&amp;blast_rank=70&amp;RID=5VFV68MB013","XM_025640972.1")</f>
        <v>XM_025640972.1</v>
      </c>
    </row>
    <row r="74" spans="1:7" x14ac:dyDescent="0.35">
      <c r="A74" t="s">
        <v>73</v>
      </c>
      <c r="B74">
        <v>122</v>
      </c>
      <c r="C74">
        <v>122</v>
      </c>
      <c r="D74" s="2">
        <v>0.56000000000000005</v>
      </c>
      <c r="E74" s="3">
        <v>1.9999999999999998E-24</v>
      </c>
      <c r="F74">
        <v>29.49</v>
      </c>
      <c r="G74" t="str">
        <f>HYPERLINK("https://www.ncbi.nlm.nih.gov/nucleotide/CP002439.1?report=genbank&amp;log$=nucltop&amp;blast_rank=71&amp;RID=5VFV68MB013","CP002439.1")</f>
        <v>CP002439.1</v>
      </c>
    </row>
    <row r="75" spans="1:7" x14ac:dyDescent="0.35">
      <c r="A75" t="s">
        <v>74</v>
      </c>
      <c r="B75">
        <v>122</v>
      </c>
      <c r="C75">
        <v>122</v>
      </c>
      <c r="D75" s="2">
        <v>0.56000000000000005</v>
      </c>
      <c r="E75" s="3">
        <v>1.9999999999999998E-24</v>
      </c>
      <c r="F75">
        <v>29.49</v>
      </c>
      <c r="G75" t="str">
        <f>HYPERLINK("https://www.ncbi.nlm.nih.gov/nucleotide/CP032682.1?report=genbank&amp;log$=nucltop&amp;blast_rank=72&amp;RID=5VFV68MB013","CP032682.1")</f>
        <v>CP032682.1</v>
      </c>
    </row>
    <row r="76" spans="1:7" x14ac:dyDescent="0.35">
      <c r="A76" t="s">
        <v>75</v>
      </c>
      <c r="B76">
        <v>122</v>
      </c>
      <c r="C76">
        <v>122</v>
      </c>
      <c r="D76" s="2">
        <v>0.56000000000000005</v>
      </c>
      <c r="E76" s="3">
        <v>1.9999999999999998E-24</v>
      </c>
      <c r="F76">
        <v>29.49</v>
      </c>
      <c r="G76" t="str">
        <f>HYPERLINK("https://www.ncbi.nlm.nih.gov/nucleotide/CP016073.1?report=genbank&amp;log$=nucltop&amp;blast_rank=73&amp;RID=5VFV68MB013","CP016073.1")</f>
        <v>CP016073.1</v>
      </c>
    </row>
    <row r="77" spans="1:7" x14ac:dyDescent="0.35">
      <c r="A77" t="s">
        <v>81</v>
      </c>
      <c r="B77">
        <v>137</v>
      </c>
      <c r="C77">
        <v>137</v>
      </c>
      <c r="D77" s="2">
        <v>0.64</v>
      </c>
      <c r="E77" s="3">
        <v>2.0000000000000002E-30</v>
      </c>
      <c r="F77">
        <v>29.46</v>
      </c>
      <c r="G77" t="str">
        <f>HYPERLINK("https://www.ncbi.nlm.nih.gov/nucleotide/XM_011327711.1?report=genbank&amp;log$=nucltop&amp;blast_rank=74&amp;RID=5VFV68MB013","XM_011327711.1")</f>
        <v>XM_011327711.1</v>
      </c>
    </row>
    <row r="78" spans="1:7" x14ac:dyDescent="0.35">
      <c r="A78" t="s">
        <v>82</v>
      </c>
      <c r="B78">
        <v>125</v>
      </c>
      <c r="C78">
        <v>125</v>
      </c>
      <c r="D78" s="2">
        <v>0.62</v>
      </c>
      <c r="E78" s="3">
        <v>4.0000000000000002E-27</v>
      </c>
      <c r="F78">
        <v>29.43</v>
      </c>
      <c r="G78" t="str">
        <f>HYPERLINK("https://www.ncbi.nlm.nih.gov/nucleotide/XM_033601052.1?report=genbank&amp;log$=nucltop&amp;blast_rank=75&amp;RID=5VFV68MB013","XM_033601052.1")</f>
        <v>XM_033601052.1</v>
      </c>
    </row>
    <row r="79" spans="1:7" x14ac:dyDescent="0.35">
      <c r="A79" t="s">
        <v>85</v>
      </c>
      <c r="B79">
        <v>184</v>
      </c>
      <c r="C79">
        <v>184</v>
      </c>
      <c r="D79" s="2">
        <v>0.84</v>
      </c>
      <c r="E79" s="3">
        <v>1E-46</v>
      </c>
      <c r="F79">
        <v>29.15</v>
      </c>
      <c r="G79" t="str">
        <f>HYPERLINK("https://www.ncbi.nlm.nih.gov/nucleotide/XM_002559523.1?report=genbank&amp;log$=nucltop&amp;blast_rank=76&amp;RID=5VFV68MB013","XM_002559523.1")</f>
        <v>XM_002559523.1</v>
      </c>
    </row>
    <row r="80" spans="1:7" x14ac:dyDescent="0.35">
      <c r="A80" t="s">
        <v>79</v>
      </c>
      <c r="B80">
        <v>162</v>
      </c>
      <c r="C80">
        <v>162</v>
      </c>
      <c r="D80" s="2">
        <v>0.61</v>
      </c>
      <c r="E80" s="3">
        <v>4.9999999999999998E-39</v>
      </c>
      <c r="F80">
        <v>29.11</v>
      </c>
      <c r="G80" t="str">
        <f>HYPERLINK("https://www.ncbi.nlm.nih.gov/nucleotide/XM_033553550.1?report=genbank&amp;log$=nucltop&amp;blast_rank=77&amp;RID=5VFV68MB013","XM_033553550.1")</f>
        <v>XM_033553550.1</v>
      </c>
    </row>
    <row r="81" spans="1:7" x14ac:dyDescent="0.35">
      <c r="A81" t="s">
        <v>71</v>
      </c>
      <c r="B81">
        <v>134</v>
      </c>
      <c r="C81">
        <v>134</v>
      </c>
      <c r="D81" s="2">
        <v>0.61</v>
      </c>
      <c r="E81" s="3">
        <v>6.9999999999999995E-29</v>
      </c>
      <c r="F81">
        <v>29.11</v>
      </c>
      <c r="G81" t="str">
        <f>HYPERLINK("https://www.ncbi.nlm.nih.gov/nucleotide/XM_025658697.1?report=genbank&amp;log$=nucltop&amp;blast_rank=78&amp;RID=5VFV68MB013","XM_025658697.1")</f>
        <v>XM_025658697.1</v>
      </c>
    </row>
    <row r="82" spans="1:7" x14ac:dyDescent="0.35">
      <c r="A82" t="s">
        <v>70</v>
      </c>
      <c r="B82">
        <v>124</v>
      </c>
      <c r="C82">
        <v>124</v>
      </c>
      <c r="D82" s="2">
        <v>0.52</v>
      </c>
      <c r="E82" s="3">
        <v>6.9999999999999997E-26</v>
      </c>
      <c r="F82">
        <v>29.06</v>
      </c>
      <c r="G82" t="str">
        <f>HYPERLINK("https://www.ncbi.nlm.nih.gov/nucleotide/XM_020201213.1?report=genbank&amp;log$=nucltop&amp;blast_rank=79&amp;RID=5VFV68MB013","XM_020201213.1")</f>
        <v>XM_020201213.1</v>
      </c>
    </row>
    <row r="83" spans="1:7" x14ac:dyDescent="0.35">
      <c r="A83" t="s">
        <v>76</v>
      </c>
      <c r="B83">
        <v>149</v>
      </c>
      <c r="C83">
        <v>149</v>
      </c>
      <c r="D83" s="2">
        <v>0.66</v>
      </c>
      <c r="E83" s="3">
        <v>3E-34</v>
      </c>
      <c r="F83">
        <v>28.94</v>
      </c>
      <c r="G83" t="str">
        <f>HYPERLINK("https://www.ncbi.nlm.nih.gov/nucleotide/XM_026762387.1?report=genbank&amp;log$=nucltop&amp;blast_rank=80&amp;RID=5VFV68MB013","XM_026762387.1")</f>
        <v>XM_026762387.1</v>
      </c>
    </row>
    <row r="84" spans="1:7" x14ac:dyDescent="0.35">
      <c r="A84" t="s">
        <v>77</v>
      </c>
      <c r="B84">
        <v>130</v>
      </c>
      <c r="C84">
        <v>130</v>
      </c>
      <c r="D84" s="2">
        <v>0.61</v>
      </c>
      <c r="E84" s="3">
        <v>1E-27</v>
      </c>
      <c r="F84">
        <v>28.86</v>
      </c>
      <c r="G84" t="str">
        <f>HYPERLINK("https://www.ncbi.nlm.nih.gov/nucleotide/XM_025680603.1?report=genbank&amp;log$=nucltop&amp;blast_rank=81&amp;RID=5VFV68MB013","XM_025680603.1")</f>
        <v>XM_025680603.1</v>
      </c>
    </row>
    <row r="85" spans="1:7" x14ac:dyDescent="0.35">
      <c r="A85" t="s">
        <v>69</v>
      </c>
      <c r="B85">
        <v>164</v>
      </c>
      <c r="C85">
        <v>164</v>
      </c>
      <c r="D85" s="2">
        <v>0.83</v>
      </c>
      <c r="E85" s="3">
        <v>9.9999999999999993E-40</v>
      </c>
      <c r="F85">
        <v>28.52</v>
      </c>
      <c r="G85" t="str">
        <f>HYPERLINK("https://www.ncbi.nlm.nih.gov/nucleotide/XM_001401884.2?report=genbank&amp;log$=nucltop&amp;blast_rank=82&amp;RID=5VFV68MB013","XM_001401884.2")</f>
        <v>XM_001401884.2</v>
      </c>
    </row>
    <row r="86" spans="1:7" x14ac:dyDescent="0.35">
      <c r="A86" t="s">
        <v>797</v>
      </c>
      <c r="B86">
        <v>164</v>
      </c>
      <c r="C86">
        <v>164</v>
      </c>
      <c r="D86" s="2">
        <v>0.83</v>
      </c>
      <c r="E86" s="3">
        <v>3.9999999999999997E-39</v>
      </c>
      <c r="F86">
        <v>28.52</v>
      </c>
      <c r="G86" t="str">
        <f>HYPERLINK("https://www.ncbi.nlm.nih.gov/nucleotide/XM_025601684.1?report=genbank&amp;log$=nucltop&amp;blast_rank=83&amp;RID=5VFV68MB013","XM_025601684.1")</f>
        <v>XM_025601684.1</v>
      </c>
    </row>
    <row r="87" spans="1:7" x14ac:dyDescent="0.35">
      <c r="A87" t="s">
        <v>80</v>
      </c>
      <c r="B87">
        <v>175</v>
      </c>
      <c r="C87">
        <v>175</v>
      </c>
      <c r="D87" s="2">
        <v>0.9</v>
      </c>
      <c r="E87" s="3">
        <v>6.9999999999999999E-43</v>
      </c>
      <c r="F87">
        <v>28.48</v>
      </c>
      <c r="G87" t="str">
        <f>HYPERLINK("https://www.ncbi.nlm.nih.gov/nucleotide/XM_025662501.1?report=genbank&amp;log$=nucltop&amp;blast_rank=84&amp;RID=5VFV68MB013","XM_025662501.1")</f>
        <v>XM_025662501.1</v>
      </c>
    </row>
    <row r="88" spans="1:7" x14ac:dyDescent="0.35">
      <c r="A88" t="s">
        <v>89</v>
      </c>
      <c r="B88">
        <v>140</v>
      </c>
      <c r="C88">
        <v>140</v>
      </c>
      <c r="D88" s="2">
        <v>0.65</v>
      </c>
      <c r="E88" s="3">
        <v>8.0000000000000007E-31</v>
      </c>
      <c r="F88">
        <v>28.37</v>
      </c>
      <c r="G88" t="str">
        <f>HYPERLINK("https://www.ncbi.nlm.nih.gov/nucleotide/XM_024828224.1?report=genbank&amp;log$=nucltop&amp;blast_rank=85&amp;RID=5VFV68MB013","XM_024828224.1")</f>
        <v>XM_024828224.1</v>
      </c>
    </row>
    <row r="89" spans="1:7" x14ac:dyDescent="0.35">
      <c r="A89" t="s">
        <v>743</v>
      </c>
      <c r="B89">
        <v>138</v>
      </c>
      <c r="C89">
        <v>172</v>
      </c>
      <c r="D89" s="2">
        <v>0.65</v>
      </c>
      <c r="E89" s="3">
        <v>2.0000000000000001E-32</v>
      </c>
      <c r="F89">
        <v>28.37</v>
      </c>
      <c r="G89" t="str">
        <f>HYPERLINK("https://www.ncbi.nlm.nih.gov/nucleotide/CP066504.1?report=genbank&amp;log$=nucltop&amp;blast_rank=86&amp;RID=5VFV68MB013","CP066504.1")</f>
        <v>CP066504.1</v>
      </c>
    </row>
    <row r="90" spans="1:7" x14ac:dyDescent="0.35">
      <c r="A90" t="s">
        <v>90</v>
      </c>
      <c r="B90">
        <v>163</v>
      </c>
      <c r="C90">
        <v>163</v>
      </c>
      <c r="D90" s="2">
        <v>0.88</v>
      </c>
      <c r="E90" s="3">
        <v>9.9999999999999996E-39</v>
      </c>
      <c r="F90">
        <v>28.25</v>
      </c>
      <c r="G90" t="str">
        <f>HYPERLINK("https://www.ncbi.nlm.nih.gov/nucleotide/XM_025683366.1?report=genbank&amp;log$=nucltop&amp;blast_rank=87&amp;RID=5VFV68MB013","XM_025683366.1")</f>
        <v>XM_025683366.1</v>
      </c>
    </row>
    <row r="91" spans="1:7" x14ac:dyDescent="0.35">
      <c r="A91" t="s">
        <v>87</v>
      </c>
      <c r="B91">
        <v>139</v>
      </c>
      <c r="C91">
        <v>139</v>
      </c>
      <c r="D91" s="2">
        <v>0.64</v>
      </c>
      <c r="E91" s="3">
        <v>2.0000000000000002E-30</v>
      </c>
      <c r="F91">
        <v>28.19</v>
      </c>
      <c r="G91" t="str">
        <f>HYPERLINK("https://www.ncbi.nlm.nih.gov/nucleotide/XM_007819030.2?report=genbank&amp;log$=nucltop&amp;blast_rank=88&amp;RID=5VFV68MB013","XM_007819030.2")</f>
        <v>XM_007819030.2</v>
      </c>
    </row>
    <row r="92" spans="1:7" x14ac:dyDescent="0.35">
      <c r="A92" t="s">
        <v>86</v>
      </c>
      <c r="B92">
        <v>140</v>
      </c>
      <c r="C92">
        <v>174</v>
      </c>
      <c r="D92" s="2">
        <v>0.66</v>
      </c>
      <c r="E92" s="3">
        <v>5.0000000000000003E-33</v>
      </c>
      <c r="F92">
        <v>28.08</v>
      </c>
      <c r="G92" t="str">
        <f>HYPERLINK("https://www.ncbi.nlm.nih.gov/nucleotide/AM920428.1?report=genbank&amp;log$=nucltop&amp;blast_rank=89&amp;RID=5VFV68MB013","AM920428.1")</f>
        <v>AM920428.1</v>
      </c>
    </row>
    <row r="93" spans="1:7" x14ac:dyDescent="0.35">
      <c r="A93" t="s">
        <v>91</v>
      </c>
      <c r="B93">
        <v>136</v>
      </c>
      <c r="C93">
        <v>136</v>
      </c>
      <c r="D93" s="2">
        <v>0.62</v>
      </c>
      <c r="E93" s="3">
        <v>4.9999999999999999E-29</v>
      </c>
      <c r="F93">
        <v>27.63</v>
      </c>
      <c r="G93" t="str">
        <f>HYPERLINK("https://www.ncbi.nlm.nih.gov/nucleotide/CP051096.1?report=genbank&amp;log$=nucltop&amp;blast_rank=90&amp;RID=5VFV68MB013","CP051096.1")</f>
        <v>CP051096.1</v>
      </c>
    </row>
    <row r="94" spans="1:7" x14ac:dyDescent="0.35">
      <c r="A94" t="s">
        <v>92</v>
      </c>
      <c r="B94">
        <v>136</v>
      </c>
      <c r="C94">
        <v>136</v>
      </c>
      <c r="D94" s="2">
        <v>0.62</v>
      </c>
      <c r="E94" s="3">
        <v>4.9999999999999999E-29</v>
      </c>
      <c r="F94">
        <v>27.63</v>
      </c>
      <c r="G94" t="str">
        <f>HYPERLINK("https://www.ncbi.nlm.nih.gov/nucleotide/CP051080.1?report=genbank&amp;log$=nucltop&amp;blast_rank=91&amp;RID=5VFV68MB013","CP051080.1")</f>
        <v>CP051080.1</v>
      </c>
    </row>
    <row r="95" spans="1:7" x14ac:dyDescent="0.35">
      <c r="A95" t="s">
        <v>93</v>
      </c>
      <c r="B95">
        <v>136</v>
      </c>
      <c r="C95">
        <v>136</v>
      </c>
      <c r="D95" s="2">
        <v>0.62</v>
      </c>
      <c r="E95" s="3">
        <v>4.9999999999999999E-29</v>
      </c>
      <c r="F95">
        <v>27.63</v>
      </c>
      <c r="G95" t="str">
        <f>HYPERLINK("https://www.ncbi.nlm.nih.gov/nucleotide/CP051024.1?report=genbank&amp;log$=nucltop&amp;blast_rank=92&amp;RID=5VFV68MB013","CP051024.1")</f>
        <v>CP051024.1</v>
      </c>
    </row>
    <row r="96" spans="1:7" x14ac:dyDescent="0.35">
      <c r="A96" t="s">
        <v>94</v>
      </c>
      <c r="B96">
        <v>136</v>
      </c>
      <c r="C96">
        <v>136</v>
      </c>
      <c r="D96" s="2">
        <v>0.62</v>
      </c>
      <c r="E96" s="3">
        <v>4.9999999999999999E-29</v>
      </c>
      <c r="F96">
        <v>27.63</v>
      </c>
      <c r="G96" t="str">
        <f>HYPERLINK("https://www.ncbi.nlm.nih.gov/nucleotide/CP051064.1?report=genbank&amp;log$=nucltop&amp;blast_rank=93&amp;RID=5VFV68MB013","CP051064.1")</f>
        <v>CP051064.1</v>
      </c>
    </row>
    <row r="97" spans="1:7" x14ac:dyDescent="0.35">
      <c r="A97" t="s">
        <v>95</v>
      </c>
      <c r="B97">
        <v>135</v>
      </c>
      <c r="C97">
        <v>135</v>
      </c>
      <c r="D97" s="2">
        <v>0.62</v>
      </c>
      <c r="E97" s="3">
        <v>9.9999999999999997E-29</v>
      </c>
      <c r="F97">
        <v>27.63</v>
      </c>
      <c r="G97" t="str">
        <f>HYPERLINK("https://www.ncbi.nlm.nih.gov/nucleotide/CP051074.1?report=genbank&amp;log$=nucltop&amp;blast_rank=94&amp;RID=5VFV68MB013","CP051074.1")</f>
        <v>CP051074.1</v>
      </c>
    </row>
    <row r="98" spans="1:7" x14ac:dyDescent="0.35">
      <c r="A98" t="s">
        <v>98</v>
      </c>
      <c r="B98">
        <v>142</v>
      </c>
      <c r="C98">
        <v>273</v>
      </c>
      <c r="D98" s="2">
        <v>0.74</v>
      </c>
      <c r="E98" s="3">
        <v>5.9999999999999996E-31</v>
      </c>
      <c r="F98">
        <v>27.48</v>
      </c>
      <c r="G98" t="str">
        <f>HYPERLINK("https://www.ncbi.nlm.nih.gov/nucleotide/XM_026749516.1?report=genbank&amp;log$=nucltop&amp;blast_rank=95&amp;RID=5VFV68MB013","XM_026749516.1")</f>
        <v>XM_026749516.1</v>
      </c>
    </row>
    <row r="99" spans="1:7" x14ac:dyDescent="0.35">
      <c r="A99" t="s">
        <v>97</v>
      </c>
      <c r="B99">
        <v>141</v>
      </c>
      <c r="C99">
        <v>141</v>
      </c>
      <c r="D99" s="2">
        <v>0.66</v>
      </c>
      <c r="E99" s="3">
        <v>2.0000000000000002E-31</v>
      </c>
      <c r="F99">
        <v>26.87</v>
      </c>
      <c r="G99" t="str">
        <f>HYPERLINK("https://www.ncbi.nlm.nih.gov/nucleotide/XM_035484606.1?report=genbank&amp;log$=nucltop&amp;blast_rank=96&amp;RID=5VFV68MB013","XM_035484606.1")</f>
        <v>XM_035484606.1</v>
      </c>
    </row>
    <row r="100" spans="1:7" x14ac:dyDescent="0.35">
      <c r="A100" t="s">
        <v>96</v>
      </c>
      <c r="B100">
        <v>140</v>
      </c>
      <c r="C100">
        <v>140</v>
      </c>
      <c r="D100" s="2">
        <v>0.83</v>
      </c>
      <c r="E100" s="3">
        <v>6.9999999999999997E-31</v>
      </c>
      <c r="F100">
        <v>26.8</v>
      </c>
      <c r="G100" t="str">
        <f>HYPERLINK("https://www.ncbi.nlm.nih.gov/nucleotide/XM_026772820.1?report=genbank&amp;log$=nucltop&amp;blast_rank=97&amp;RID=5VFV68MB013","XM_026772820.1")</f>
        <v>XM_026772820.1</v>
      </c>
    </row>
    <row r="101" spans="1:7" x14ac:dyDescent="0.35">
      <c r="A101" s="4" t="s">
        <v>99</v>
      </c>
      <c r="B101" s="4">
        <v>137</v>
      </c>
      <c r="C101" s="4">
        <v>137</v>
      </c>
      <c r="D101" s="5">
        <v>0.7</v>
      </c>
      <c r="E101" s="6">
        <v>9.9999999999999994E-30</v>
      </c>
      <c r="F101" s="4">
        <v>26.71</v>
      </c>
      <c r="G101" s="4" t="str">
        <f>HYPERLINK("https://www.ncbi.nlm.nih.gov/nucleotide/XM_014687487.1?report=genbank&amp;log$=nucltop&amp;blast_rank=98&amp;RID=5VFV68MB013","XM_014687487.1")</f>
        <v>XM_014687487.1</v>
      </c>
    </row>
    <row r="102" spans="1:7" x14ac:dyDescent="0.35">
      <c r="A102" t="s">
        <v>101</v>
      </c>
      <c r="B102">
        <v>132</v>
      </c>
      <c r="C102">
        <v>132</v>
      </c>
      <c r="D102" s="2">
        <v>0.68</v>
      </c>
      <c r="E102" s="3">
        <v>6.0000000000000005E-29</v>
      </c>
      <c r="F102">
        <v>26.48</v>
      </c>
      <c r="G102" t="str">
        <f>HYPERLINK("https://www.ncbi.nlm.nih.gov/nucleotide/XM_023596533.1?report=genbank&amp;log$=nucltop&amp;blast_rank=99&amp;RID=5VFV68MB013","XM_023596533.1")</f>
        <v>XM_023596533.1</v>
      </c>
    </row>
    <row r="103" spans="1:7" x14ac:dyDescent="0.35">
      <c r="A103" t="s">
        <v>105</v>
      </c>
      <c r="B103">
        <v>133</v>
      </c>
      <c r="C103">
        <v>133</v>
      </c>
      <c r="D103" s="2">
        <v>0.75</v>
      </c>
      <c r="E103" s="3">
        <v>3E-28</v>
      </c>
      <c r="F103">
        <v>25.05</v>
      </c>
      <c r="G103" t="str">
        <f>HYPERLINK("https://www.ncbi.nlm.nih.gov/nucleotide/XM_033555780.1?report=genbank&amp;log$=nucltop&amp;blast_rank=100&amp;RID=5VFV68MB013","XM_033555780.1")</f>
        <v>XM_033555780.1</v>
      </c>
    </row>
    <row r="104" spans="1:7" x14ac:dyDescent="0.35">
      <c r="A104" s="1" t="s">
        <v>1263</v>
      </c>
    </row>
    <row r="105" spans="1:7" s="1" customFormat="1" x14ac:dyDescent="0.35">
      <c r="A105" s="1" t="s">
        <v>2</v>
      </c>
      <c r="B105" s="1" t="s">
        <v>3</v>
      </c>
      <c r="C105" s="1" t="s">
        <v>4</v>
      </c>
      <c r="D105" s="1" t="s">
        <v>5</v>
      </c>
      <c r="E105" s="1" t="s">
        <v>6</v>
      </c>
      <c r="F105" s="1" t="s">
        <v>7</v>
      </c>
      <c r="G105" s="1" t="s">
        <v>8</v>
      </c>
    </row>
    <row r="106" spans="1:7" x14ac:dyDescent="0.35">
      <c r="A106" t="s">
        <v>9</v>
      </c>
      <c r="B106">
        <v>580</v>
      </c>
      <c r="C106">
        <v>672</v>
      </c>
      <c r="D106" s="2">
        <v>1</v>
      </c>
      <c r="E106">
        <v>0</v>
      </c>
      <c r="F106">
        <v>71.3</v>
      </c>
      <c r="G106" t="str">
        <f>HYPERLINK("https://www.ncbi.nlm.nih.gov/nucleotide/LR732079.1?report=genbank&amp;log$=nucltop&amp;blast_rank=1&amp;RID=5VFWFSXU016","LR732079.1")</f>
        <v>LR732079.1</v>
      </c>
    </row>
    <row r="107" spans="1:7" x14ac:dyDescent="0.35">
      <c r="A107" t="s">
        <v>107</v>
      </c>
      <c r="B107">
        <v>67.400000000000006</v>
      </c>
      <c r="C107">
        <v>113</v>
      </c>
      <c r="D107" s="2">
        <v>0.3</v>
      </c>
      <c r="E107" s="3">
        <v>2.0000000000000002E-15</v>
      </c>
      <c r="F107">
        <v>62.79</v>
      </c>
      <c r="G107" t="str">
        <f>HYPERLINK("https://www.ncbi.nlm.nih.gov/nucleotide/CP019380.1?report=genbank&amp;log$=nucltop&amp;blast_rank=2&amp;RID=5VFWFSXU016","CP019380.1")</f>
        <v>CP019380.1</v>
      </c>
    </row>
    <row r="108" spans="1:7" x14ac:dyDescent="0.35">
      <c r="A108" t="s">
        <v>108</v>
      </c>
      <c r="B108">
        <v>100</v>
      </c>
      <c r="C108">
        <v>100</v>
      </c>
      <c r="D108" s="2">
        <v>0.15</v>
      </c>
      <c r="E108" s="3">
        <v>2.9999999999999999E-21</v>
      </c>
      <c r="F108">
        <v>57.14</v>
      </c>
      <c r="G108" t="str">
        <f>HYPERLINK("https://www.ncbi.nlm.nih.gov/nucleotide/XM_024486644.1?report=genbank&amp;log$=nucltop&amp;blast_rank=3&amp;RID=5VFWFSXU016","XM_024486644.1")</f>
        <v>XM_024486644.1</v>
      </c>
    </row>
    <row r="109" spans="1:7" x14ac:dyDescent="0.35">
      <c r="A109" t="s">
        <v>742</v>
      </c>
      <c r="B109">
        <v>123</v>
      </c>
      <c r="C109">
        <v>123</v>
      </c>
      <c r="D109" s="2">
        <v>0.25</v>
      </c>
      <c r="E109" s="3">
        <v>2.0000000000000001E-26</v>
      </c>
      <c r="F109">
        <v>54.78</v>
      </c>
      <c r="G109" t="str">
        <f>HYPERLINK("https://www.ncbi.nlm.nih.gov/nucleotide/XM_036779061.1?report=genbank&amp;log$=nucltop&amp;blast_rank=4&amp;RID=5VFWFSXU016","XM_036779061.1")</f>
        <v>XM_036779061.1</v>
      </c>
    </row>
    <row r="110" spans="1:7" x14ac:dyDescent="0.35">
      <c r="A110" t="s">
        <v>21</v>
      </c>
      <c r="B110">
        <v>93.2</v>
      </c>
      <c r="C110">
        <v>93.2</v>
      </c>
      <c r="D110" s="2">
        <v>0.15</v>
      </c>
      <c r="E110" s="3">
        <v>1.0000000000000001E-18</v>
      </c>
      <c r="F110">
        <v>54.41</v>
      </c>
      <c r="G110" t="str">
        <f>HYPERLINK("https://www.ncbi.nlm.nih.gov/nucleotide/XM_009546988.1?report=genbank&amp;log$=nucltop&amp;blast_rank=5&amp;RID=5VFWFSXU016","XM_009546988.1")</f>
        <v>XM_009546988.1</v>
      </c>
    </row>
    <row r="111" spans="1:7" x14ac:dyDescent="0.35">
      <c r="A111" t="s">
        <v>111</v>
      </c>
      <c r="B111">
        <v>122</v>
      </c>
      <c r="C111">
        <v>122</v>
      </c>
      <c r="D111" s="2">
        <v>0.25</v>
      </c>
      <c r="E111" s="3">
        <v>5.0000000000000002E-28</v>
      </c>
      <c r="F111">
        <v>52.68</v>
      </c>
      <c r="G111" t="str">
        <f>HYPERLINK("https://www.ncbi.nlm.nih.gov/nucleotide/XM_007330300.1?report=genbank&amp;log$=nucltop&amp;blast_rank=6&amp;RID=5VFWFSXU016","XM_007330300.1")</f>
        <v>XM_007330300.1</v>
      </c>
    </row>
    <row r="112" spans="1:7" x14ac:dyDescent="0.35">
      <c r="A112" t="s">
        <v>109</v>
      </c>
      <c r="B112">
        <v>92.4</v>
      </c>
      <c r="C112">
        <v>92.4</v>
      </c>
      <c r="D112" s="2">
        <v>0.17</v>
      </c>
      <c r="E112" s="3">
        <v>4.0000000000000003E-18</v>
      </c>
      <c r="F112">
        <v>52.56</v>
      </c>
      <c r="G112" t="str">
        <f>HYPERLINK("https://www.ncbi.nlm.nih.gov/nucleotide/XM_007870492.1?report=genbank&amp;log$=nucltop&amp;blast_rank=7&amp;RID=5VFWFSXU016","XM_007870492.1")</f>
        <v>XM_007870492.1</v>
      </c>
    </row>
    <row r="113" spans="1:7" x14ac:dyDescent="0.35">
      <c r="A113" t="s">
        <v>112</v>
      </c>
      <c r="B113">
        <v>75.099999999999994</v>
      </c>
      <c r="C113">
        <v>75.099999999999994</v>
      </c>
      <c r="D113" s="2">
        <v>0.11</v>
      </c>
      <c r="E113" s="3">
        <v>7.0000000000000001E-12</v>
      </c>
      <c r="F113">
        <v>50.72</v>
      </c>
      <c r="G113" t="str">
        <f>HYPERLINK("https://www.ncbi.nlm.nih.gov/nucleotide/XM_007393520.1?report=genbank&amp;log$=nucltop&amp;blast_rank=8&amp;RID=5VFWFSXU016","XM_007393520.1")</f>
        <v>XM_007393520.1</v>
      </c>
    </row>
    <row r="114" spans="1:7" x14ac:dyDescent="0.35">
      <c r="A114" t="s">
        <v>19</v>
      </c>
      <c r="B114">
        <v>120</v>
      </c>
      <c r="C114">
        <v>120</v>
      </c>
      <c r="D114" s="2">
        <v>0.26</v>
      </c>
      <c r="E114" s="3">
        <v>6.9999999999999997E-26</v>
      </c>
      <c r="F114">
        <v>50.42</v>
      </c>
      <c r="G114" t="str">
        <f>HYPERLINK("https://www.ncbi.nlm.nih.gov/nucleotide/XM_001880888.1?report=genbank&amp;log$=nucltop&amp;blast_rank=9&amp;RID=5VFWFSXU016","XM_001880888.1")</f>
        <v>XM_001880888.1</v>
      </c>
    </row>
    <row r="115" spans="1:7" x14ac:dyDescent="0.35">
      <c r="A115" t="s">
        <v>116</v>
      </c>
      <c r="B115">
        <v>111</v>
      </c>
      <c r="C115">
        <v>111</v>
      </c>
      <c r="D115" s="2">
        <v>0.25</v>
      </c>
      <c r="E115" s="3">
        <v>2.9999999999999999E-22</v>
      </c>
      <c r="F115">
        <v>48.21</v>
      </c>
      <c r="G115" t="str">
        <f>HYPERLINK("https://www.ncbi.nlm.nih.gov/nucleotide/XM_007299403.1?report=genbank&amp;log$=nucltop&amp;blast_rank=10&amp;RID=5VFWFSXU016","XM_007299403.1")</f>
        <v>XM_007299403.1</v>
      </c>
    </row>
    <row r="116" spans="1:7" x14ac:dyDescent="0.35">
      <c r="A116" t="s">
        <v>110</v>
      </c>
      <c r="B116">
        <v>107</v>
      </c>
      <c r="C116">
        <v>107</v>
      </c>
      <c r="D116" s="2">
        <v>0.25</v>
      </c>
      <c r="E116" s="3">
        <v>4.0000000000000002E-22</v>
      </c>
      <c r="F116">
        <v>48.21</v>
      </c>
      <c r="G116" t="str">
        <f>HYPERLINK("https://www.ncbi.nlm.nih.gov/nucleotide/XM_003033916.1?report=genbank&amp;log$=nucltop&amp;blast_rank=11&amp;RID=5VFWFSXU016","XM_003033916.1")</f>
        <v>XM_003033916.1</v>
      </c>
    </row>
    <row r="117" spans="1:7" x14ac:dyDescent="0.35">
      <c r="A117" s="4" t="s">
        <v>114</v>
      </c>
      <c r="B117" s="4">
        <v>106</v>
      </c>
      <c r="C117" s="4">
        <v>106</v>
      </c>
      <c r="D117" s="5">
        <v>0.25</v>
      </c>
      <c r="E117" s="6">
        <v>9.9999999999999995E-21</v>
      </c>
      <c r="F117" s="4">
        <v>48.21</v>
      </c>
      <c r="G117" s="4" t="str">
        <f>HYPERLINK("https://www.ncbi.nlm.nih.gov/nucleotide/LR724670.1?report=genbank&amp;log$=nucltop&amp;blast_rank=12&amp;RID=5VFWFSXU016","LR724670.1")</f>
        <v>LR724670.1</v>
      </c>
    </row>
    <row r="118" spans="1:7" x14ac:dyDescent="0.35">
      <c r="A118" t="s">
        <v>124</v>
      </c>
      <c r="B118">
        <v>77.8</v>
      </c>
      <c r="C118">
        <v>77.8</v>
      </c>
      <c r="D118" s="2">
        <v>0.15</v>
      </c>
      <c r="E118" s="3">
        <v>3.9999999999999998E-11</v>
      </c>
      <c r="F118">
        <v>47.3</v>
      </c>
      <c r="G118" t="str">
        <f>HYPERLINK("https://www.ncbi.nlm.nih.gov/nucleotide/XM_013384521.1?report=genbank&amp;log$=nucltop&amp;blast_rank=13&amp;RID=5VFWFSXU016","XM_013384521.1")</f>
        <v>XM_013384521.1</v>
      </c>
    </row>
    <row r="119" spans="1:7" x14ac:dyDescent="0.35">
      <c r="A119" t="s">
        <v>113</v>
      </c>
      <c r="B119">
        <v>102</v>
      </c>
      <c r="C119">
        <v>102</v>
      </c>
      <c r="D119" s="2">
        <v>0.25</v>
      </c>
      <c r="E119" s="3">
        <v>9.9999999999999991E-22</v>
      </c>
      <c r="F119">
        <v>46.9</v>
      </c>
      <c r="G119" t="str">
        <f>HYPERLINK("https://www.ncbi.nlm.nih.gov/nucleotide/XM_008041408.1?report=genbank&amp;log$=nucltop&amp;blast_rank=14&amp;RID=5VFWFSXU016","XM_008041408.1")</f>
        <v>XM_008041408.1</v>
      </c>
    </row>
    <row r="120" spans="1:7" x14ac:dyDescent="0.35">
      <c r="A120" s="4" t="s">
        <v>163</v>
      </c>
      <c r="B120" s="4">
        <v>82</v>
      </c>
      <c r="C120" s="4">
        <v>82</v>
      </c>
      <c r="D120" s="5">
        <v>0.17</v>
      </c>
      <c r="E120" s="6">
        <v>2E-12</v>
      </c>
      <c r="F120" s="4">
        <v>45.57</v>
      </c>
      <c r="G120" s="4" t="str">
        <f>HYPERLINK("https://www.ncbi.nlm.nih.gov/nucleotide/XM_016418249.1?report=genbank&amp;log$=nucltop&amp;blast_rank=15&amp;RID=5VFWFSXU016","XM_016418249.1")</f>
        <v>XM_016418249.1</v>
      </c>
    </row>
    <row r="121" spans="1:7" x14ac:dyDescent="0.35">
      <c r="A121" t="s">
        <v>126</v>
      </c>
      <c r="B121">
        <v>73.599999999999994</v>
      </c>
      <c r="C121">
        <v>73.599999999999994</v>
      </c>
      <c r="D121" s="2">
        <v>0.17</v>
      </c>
      <c r="E121" s="3">
        <v>1.0000000000000001E-9</v>
      </c>
      <c r="F121">
        <v>45.45</v>
      </c>
      <c r="G121" t="str">
        <f>HYPERLINK("https://www.ncbi.nlm.nih.gov/nucleotide/XM_007769767.1?report=genbank&amp;log$=nucltop&amp;blast_rank=16&amp;RID=5VFWFSXU016","XM_007769767.1")</f>
        <v>XM_007769767.1</v>
      </c>
    </row>
    <row r="122" spans="1:7" x14ac:dyDescent="0.35">
      <c r="A122" s="4" t="s">
        <v>117</v>
      </c>
      <c r="B122" s="4">
        <v>104</v>
      </c>
      <c r="C122" s="4">
        <v>104</v>
      </c>
      <c r="D122" s="5">
        <v>0.25</v>
      </c>
      <c r="E122" s="6">
        <v>7.9999999999999996E-20</v>
      </c>
      <c r="F122" s="4">
        <v>45.22</v>
      </c>
      <c r="G122" s="4" t="str">
        <f>HYPERLINK("https://www.ncbi.nlm.nih.gov/nucleotide/XM_037359091.1?report=genbank&amp;log$=nucltop&amp;blast_rank=17&amp;RID=5VFWFSXU016","XM_037359091.1")</f>
        <v>XM_037359091.1</v>
      </c>
    </row>
    <row r="123" spans="1:7" x14ac:dyDescent="0.35">
      <c r="A123" t="s">
        <v>115</v>
      </c>
      <c r="B123">
        <v>102</v>
      </c>
      <c r="C123">
        <v>102</v>
      </c>
      <c r="D123" s="2">
        <v>0.25</v>
      </c>
      <c r="E123" s="3">
        <v>9.9999999999999991E-22</v>
      </c>
      <c r="F123">
        <v>45.05</v>
      </c>
      <c r="G123" t="str">
        <f>HYPERLINK("https://www.ncbi.nlm.nih.gov/nucleotide/XM_007388990.1?report=genbank&amp;log$=nucltop&amp;blast_rank=18&amp;RID=5VFWFSXU016","XM_007388990.1")</f>
        <v>XM_007388990.1</v>
      </c>
    </row>
    <row r="124" spans="1:7" x14ac:dyDescent="0.35">
      <c r="A124" t="s">
        <v>123</v>
      </c>
      <c r="B124">
        <v>74.3</v>
      </c>
      <c r="C124">
        <v>74.3</v>
      </c>
      <c r="D124" s="2">
        <v>0.14000000000000001</v>
      </c>
      <c r="E124" s="3">
        <v>5.0000000000000003E-10</v>
      </c>
      <c r="F124">
        <v>44.62</v>
      </c>
      <c r="G124" t="str">
        <f>HYPERLINK("https://www.ncbi.nlm.nih.gov/nucleotide/XM_025744195.1?report=genbank&amp;log$=nucltop&amp;blast_rank=19&amp;RID=5VFWFSXU016","XM_025744195.1")</f>
        <v>XM_025744195.1</v>
      </c>
    </row>
    <row r="125" spans="1:7" x14ac:dyDescent="0.35">
      <c r="A125" t="s">
        <v>130</v>
      </c>
      <c r="B125">
        <v>70.5</v>
      </c>
      <c r="C125">
        <v>70.5</v>
      </c>
      <c r="D125" s="2">
        <v>0.14000000000000001</v>
      </c>
      <c r="E125" s="3">
        <v>2.0000000000000001E-10</v>
      </c>
      <c r="F125">
        <v>44.44</v>
      </c>
      <c r="G125" t="str">
        <f>HYPERLINK("https://www.ncbi.nlm.nih.gov/nucleotide/XM_018412799.1?report=genbank&amp;log$=nucltop&amp;blast_rank=20&amp;RID=5VFWFSXU016","XM_018412799.1")</f>
        <v>XM_018412799.1</v>
      </c>
    </row>
    <row r="126" spans="1:7" x14ac:dyDescent="0.35">
      <c r="A126" t="s">
        <v>165</v>
      </c>
      <c r="B126">
        <v>70.5</v>
      </c>
      <c r="C126">
        <v>70.5</v>
      </c>
      <c r="D126" s="2">
        <v>0.13</v>
      </c>
      <c r="E126" s="3">
        <v>1E-8</v>
      </c>
      <c r="F126">
        <v>44.07</v>
      </c>
      <c r="G126" t="str">
        <f>HYPERLINK("https://www.ncbi.nlm.nih.gov/nucleotide/XM_014798439.1?report=genbank&amp;log$=nucltop&amp;blast_rank=21&amp;RID=5VFWFSXU016","XM_014798439.1")</f>
        <v>XM_014798439.1</v>
      </c>
    </row>
    <row r="127" spans="1:7" x14ac:dyDescent="0.35">
      <c r="A127" t="s">
        <v>473</v>
      </c>
      <c r="B127">
        <v>57.4</v>
      </c>
      <c r="C127">
        <v>112</v>
      </c>
      <c r="D127" s="2">
        <v>0.28999999999999998</v>
      </c>
      <c r="E127" s="3">
        <v>5E-15</v>
      </c>
      <c r="F127">
        <v>43.82</v>
      </c>
      <c r="G127" t="str">
        <f>HYPERLINK("https://www.ncbi.nlm.nih.gov/nucleotide/CP068007.1?report=genbank&amp;log$=nucltop&amp;blast_rank=22&amp;RID=5VFWFSXU016","CP068007.1")</f>
        <v>CP068007.1</v>
      </c>
    </row>
    <row r="128" spans="1:7" x14ac:dyDescent="0.35">
      <c r="A128" t="s">
        <v>172</v>
      </c>
      <c r="B128">
        <v>74.7</v>
      </c>
      <c r="C128">
        <v>74.7</v>
      </c>
      <c r="D128" s="2">
        <v>0.13</v>
      </c>
      <c r="E128" s="3">
        <v>6.9999999999999996E-10</v>
      </c>
      <c r="F128">
        <v>43.55</v>
      </c>
      <c r="G128" t="str">
        <f>HYPERLINK("https://www.ncbi.nlm.nih.gov/nucleotide/LK056654.1?report=genbank&amp;log$=nucltop&amp;blast_rank=23&amp;RID=5VFWFSXU016","LK056654.1")</f>
        <v>LK056654.1</v>
      </c>
    </row>
    <row r="129" spans="1:7" x14ac:dyDescent="0.35">
      <c r="A129" t="s">
        <v>173</v>
      </c>
      <c r="B129">
        <v>74.7</v>
      </c>
      <c r="C129">
        <v>74.7</v>
      </c>
      <c r="D129" s="2">
        <v>0.13</v>
      </c>
      <c r="E129" s="3">
        <v>6.9999999999999996E-10</v>
      </c>
      <c r="F129">
        <v>43.55</v>
      </c>
      <c r="G129" t="str">
        <f>HYPERLINK("https://www.ncbi.nlm.nih.gov/nucleotide/CP010920.1?report=genbank&amp;log$=nucltop&amp;blast_rank=24&amp;RID=5VFWFSXU016","CP010920.1")</f>
        <v>CP010920.1</v>
      </c>
    </row>
    <row r="130" spans="1:7" x14ac:dyDescent="0.35">
      <c r="A130" t="s">
        <v>166</v>
      </c>
      <c r="B130">
        <v>73.599999999999994</v>
      </c>
      <c r="C130">
        <v>73.599999999999994</v>
      </c>
      <c r="D130" s="2">
        <v>0.13</v>
      </c>
      <c r="E130" s="3">
        <v>1.0000000000000001E-9</v>
      </c>
      <c r="F130">
        <v>43.55</v>
      </c>
      <c r="G130" t="str">
        <f>HYPERLINK("https://www.ncbi.nlm.nih.gov/nucleotide/CP060305.1?report=genbank&amp;log$=nucltop&amp;blast_rank=25&amp;RID=5VFWFSXU016","CP060305.1")</f>
        <v>CP060305.1</v>
      </c>
    </row>
    <row r="131" spans="1:7" x14ac:dyDescent="0.35">
      <c r="A131" s="4" t="s">
        <v>127</v>
      </c>
      <c r="B131" s="4">
        <v>67.400000000000006</v>
      </c>
      <c r="C131" s="4">
        <v>67.400000000000006</v>
      </c>
      <c r="D131" s="5">
        <v>0.14000000000000001</v>
      </c>
      <c r="E131" s="6">
        <v>8.9999999999999999E-8</v>
      </c>
      <c r="F131" s="4">
        <v>43.08</v>
      </c>
      <c r="G131" s="4" t="str">
        <f>HYPERLINK("https://www.ncbi.nlm.nih.gov/nucleotide/XM_037363786.1?report=genbank&amp;log$=nucltop&amp;blast_rank=26&amp;RID=5VFWFSXU016","XM_037363786.1")</f>
        <v>XM_037363786.1</v>
      </c>
    </row>
    <row r="132" spans="1:7" x14ac:dyDescent="0.35">
      <c r="A132" s="4" t="s">
        <v>119</v>
      </c>
      <c r="B132" s="4">
        <v>115</v>
      </c>
      <c r="C132" s="4">
        <v>115</v>
      </c>
      <c r="D132" s="5">
        <v>0.28999999999999998</v>
      </c>
      <c r="E132" s="6">
        <v>3.9999999999999998E-23</v>
      </c>
      <c r="F132" s="4">
        <v>43.07</v>
      </c>
      <c r="G132" s="4" t="str">
        <f>HYPERLINK("https://www.ncbi.nlm.nih.gov/nucleotide/XM_027763465.1?report=genbank&amp;log$=nucltop&amp;blast_rank=27&amp;RID=5VFWFSXU016","XM_027763465.1")</f>
        <v>XM_027763465.1</v>
      </c>
    </row>
    <row r="133" spans="1:7" x14ac:dyDescent="0.35">
      <c r="A133" t="s">
        <v>808</v>
      </c>
      <c r="B133">
        <v>68.2</v>
      </c>
      <c r="C133">
        <v>68.2</v>
      </c>
      <c r="D133" s="2">
        <v>0.14000000000000001</v>
      </c>
      <c r="E133" s="3">
        <v>4.9999999999999998E-8</v>
      </c>
      <c r="F133">
        <v>42.42</v>
      </c>
      <c r="G133" t="str">
        <f>HYPERLINK("https://www.ncbi.nlm.nih.gov/nucleotide/XM_039067136.1?report=genbank&amp;log$=nucltop&amp;blast_rank=28&amp;RID=5VFWFSXU016","XM_039067136.1")</f>
        <v>XM_039067136.1</v>
      </c>
    </row>
    <row r="134" spans="1:7" x14ac:dyDescent="0.35">
      <c r="A134" t="s">
        <v>118</v>
      </c>
      <c r="B134">
        <v>124</v>
      </c>
      <c r="C134">
        <v>124</v>
      </c>
      <c r="D134" s="2">
        <v>0.43</v>
      </c>
      <c r="E134" s="3">
        <v>1E-26</v>
      </c>
      <c r="F134">
        <v>42.35</v>
      </c>
      <c r="G134" t="str">
        <f>HYPERLINK("https://www.ncbi.nlm.nih.gov/nucleotide/XM_006459160.1?report=genbank&amp;log$=nucltop&amp;blast_rank=29&amp;RID=5VFWFSXU016","XM_006459160.1")</f>
        <v>XM_006459160.1</v>
      </c>
    </row>
    <row r="135" spans="1:7" x14ac:dyDescent="0.35">
      <c r="A135" t="s">
        <v>182</v>
      </c>
      <c r="B135">
        <v>74.7</v>
      </c>
      <c r="C135">
        <v>74.7</v>
      </c>
      <c r="D135" s="2">
        <v>0.14000000000000001</v>
      </c>
      <c r="E135" s="3">
        <v>5.0000000000000003E-10</v>
      </c>
      <c r="F135">
        <v>42.19</v>
      </c>
      <c r="G135" t="str">
        <f>HYPERLINK("https://www.ncbi.nlm.nih.gov/nucleotide/XM_029884767.1?report=genbank&amp;log$=nucltop&amp;blast_rank=30&amp;RID=5VFWFSXU016","XM_029884767.1")</f>
        <v>XM_029884767.1</v>
      </c>
    </row>
    <row r="136" spans="1:7" x14ac:dyDescent="0.35">
      <c r="A136" t="s">
        <v>153</v>
      </c>
      <c r="B136">
        <v>74.7</v>
      </c>
      <c r="C136">
        <v>74.7</v>
      </c>
      <c r="D136" s="2">
        <v>0.14000000000000001</v>
      </c>
      <c r="E136" s="3">
        <v>6E-10</v>
      </c>
      <c r="F136">
        <v>42.19</v>
      </c>
      <c r="G136" t="str">
        <f>HYPERLINK("https://www.ncbi.nlm.nih.gov/nucleotide/LT795076.1?report=genbank&amp;log$=nucltop&amp;blast_rank=31&amp;RID=5VFWFSXU016","LT795076.1")</f>
        <v>LT795076.1</v>
      </c>
    </row>
    <row r="137" spans="1:7" x14ac:dyDescent="0.35">
      <c r="A137" t="s">
        <v>154</v>
      </c>
      <c r="B137">
        <v>74.7</v>
      </c>
      <c r="C137">
        <v>74.7</v>
      </c>
      <c r="D137" s="2">
        <v>0.14000000000000001</v>
      </c>
      <c r="E137" s="3">
        <v>6E-10</v>
      </c>
      <c r="F137">
        <v>42.19</v>
      </c>
      <c r="G137" t="str">
        <f>HYPERLINK("https://www.ncbi.nlm.nih.gov/nucleotide/FQ311445.1?report=genbank&amp;log$=nucltop&amp;blast_rank=32&amp;RID=5VFWFSXU016","FQ311445.1")</f>
        <v>FQ311445.1</v>
      </c>
    </row>
    <row r="138" spans="1:7" x14ac:dyDescent="0.35">
      <c r="A138" t="s">
        <v>811</v>
      </c>
      <c r="B138">
        <v>74.3</v>
      </c>
      <c r="C138">
        <v>74.3</v>
      </c>
      <c r="D138" s="2">
        <v>0.14000000000000001</v>
      </c>
      <c r="E138" s="3">
        <v>6E-10</v>
      </c>
      <c r="F138">
        <v>42.19</v>
      </c>
      <c r="G138" t="str">
        <f>HYPERLINK("https://www.ncbi.nlm.nih.gov/nucleotide/XM_011394382.1?report=genbank&amp;log$=nucltop&amp;blast_rank=33&amp;RID=5VFWFSXU016","XM_011394382.1")</f>
        <v>XM_011394382.1</v>
      </c>
    </row>
    <row r="139" spans="1:7" x14ac:dyDescent="0.35">
      <c r="A139" t="s">
        <v>188</v>
      </c>
      <c r="B139">
        <v>67.400000000000006</v>
      </c>
      <c r="C139">
        <v>67.400000000000006</v>
      </c>
      <c r="D139" s="2">
        <v>0.12</v>
      </c>
      <c r="E139" s="3">
        <v>9.9999999999999995E-8</v>
      </c>
      <c r="F139">
        <v>42.11</v>
      </c>
      <c r="G139" t="str">
        <f>HYPERLINK("https://www.ncbi.nlm.nih.gov/nucleotide/XM_025521795.1?report=genbank&amp;log$=nucltop&amp;blast_rank=34&amp;RID=5VFWFSXU016","XM_025521795.1")</f>
        <v>XM_025521795.1</v>
      </c>
    </row>
    <row r="140" spans="1:7" x14ac:dyDescent="0.35">
      <c r="A140" t="s">
        <v>185</v>
      </c>
      <c r="B140">
        <v>73.599999999999994</v>
      </c>
      <c r="C140">
        <v>73.599999999999994</v>
      </c>
      <c r="D140" s="2">
        <v>0.16</v>
      </c>
      <c r="E140" s="3">
        <v>1.0000000000000001E-9</v>
      </c>
      <c r="F140">
        <v>41.67</v>
      </c>
      <c r="G140" t="str">
        <f>HYPERLINK("https://www.ncbi.nlm.nih.gov/nucleotide/XM_007882346.1?report=genbank&amp;log$=nucltop&amp;blast_rank=35&amp;RID=5VFWFSXU016","XM_007882346.1")</f>
        <v>XM_007882346.1</v>
      </c>
    </row>
    <row r="141" spans="1:7" x14ac:dyDescent="0.35">
      <c r="A141" t="s">
        <v>183</v>
      </c>
      <c r="B141">
        <v>68.599999999999994</v>
      </c>
      <c r="C141">
        <v>68.599999999999994</v>
      </c>
      <c r="D141" s="2">
        <v>0.14000000000000001</v>
      </c>
      <c r="E141" s="3">
        <v>4.0000000000000002E-9</v>
      </c>
      <c r="F141">
        <v>40.619999999999997</v>
      </c>
      <c r="G141" t="str">
        <f>HYPERLINK("https://www.ncbi.nlm.nih.gov/nucleotide/XM_016436705.1?report=genbank&amp;log$=nucltop&amp;blast_rank=36&amp;RID=5VFWFSXU016","XM_016436705.1")</f>
        <v>XM_016436705.1</v>
      </c>
    </row>
    <row r="142" spans="1:7" x14ac:dyDescent="0.35">
      <c r="A142" t="s">
        <v>1264</v>
      </c>
      <c r="B142">
        <v>57</v>
      </c>
      <c r="C142">
        <v>57</v>
      </c>
      <c r="D142" s="2">
        <v>0.16</v>
      </c>
      <c r="E142" s="3">
        <v>8.0000000000000007E-5</v>
      </c>
      <c r="F142">
        <v>40.54</v>
      </c>
      <c r="G142" t="str">
        <f>HYPERLINK("https://www.ncbi.nlm.nih.gov/nucleotide/XM_001730032.1?report=genbank&amp;log$=nucltop&amp;blast_rank=37&amp;RID=5VFWFSXU016","XM_001730032.1")</f>
        <v>XM_001730032.1</v>
      </c>
    </row>
    <row r="143" spans="1:7" x14ac:dyDescent="0.35">
      <c r="A143" t="s">
        <v>1265</v>
      </c>
      <c r="B143">
        <v>57</v>
      </c>
      <c r="C143">
        <v>57</v>
      </c>
      <c r="D143" s="2">
        <v>0.16</v>
      </c>
      <c r="E143" s="3">
        <v>2.0000000000000001E-4</v>
      </c>
      <c r="F143">
        <v>40.54</v>
      </c>
      <c r="G143" t="str">
        <f>HYPERLINK("https://www.ncbi.nlm.nih.gov/nucleotide/CP046437.1?report=genbank&amp;log$=nucltop&amp;blast_rank=38&amp;RID=5VFWFSXU016","CP046437.1")</f>
        <v>CP046437.1</v>
      </c>
    </row>
    <row r="144" spans="1:7" x14ac:dyDescent="0.35">
      <c r="A144" t="s">
        <v>178</v>
      </c>
      <c r="B144">
        <v>67.400000000000006</v>
      </c>
      <c r="C144">
        <v>67.400000000000006</v>
      </c>
      <c r="D144" s="2">
        <v>0.13</v>
      </c>
      <c r="E144" s="3">
        <v>8.9999999999999999E-8</v>
      </c>
      <c r="F144">
        <v>40</v>
      </c>
      <c r="G144" t="str">
        <f>HYPERLINK("https://www.ncbi.nlm.nih.gov/nucleotide/XM_025502720.1?report=genbank&amp;log$=nucltop&amp;blast_rank=39&amp;RID=5VFWFSXU016","XM_025502720.1")</f>
        <v>XM_025502720.1</v>
      </c>
    </row>
    <row r="145" spans="1:7" x14ac:dyDescent="0.35">
      <c r="A145" t="s">
        <v>109</v>
      </c>
      <c r="B145">
        <v>62.8</v>
      </c>
      <c r="C145">
        <v>62.8</v>
      </c>
      <c r="D145" s="2">
        <v>0.13</v>
      </c>
      <c r="E145" s="3">
        <v>3.0000000000000001E-6</v>
      </c>
      <c r="F145">
        <v>40</v>
      </c>
      <c r="G145" t="str">
        <f>HYPERLINK("https://www.ncbi.nlm.nih.gov/nucleotide/XM_007864340.1?report=genbank&amp;log$=nucltop&amp;blast_rank=40&amp;RID=5VFWFSXU016","XM_007864340.1")</f>
        <v>XM_007864340.1</v>
      </c>
    </row>
    <row r="146" spans="1:7" x14ac:dyDescent="0.35">
      <c r="A146" s="4" t="s">
        <v>1266</v>
      </c>
      <c r="B146" s="4">
        <v>55.8</v>
      </c>
      <c r="C146" s="4">
        <v>55.8</v>
      </c>
      <c r="D146" s="5">
        <v>0.18</v>
      </c>
      <c r="E146" s="6">
        <v>2.0000000000000001E-4</v>
      </c>
      <c r="F146" s="4">
        <v>39.770000000000003</v>
      </c>
      <c r="G146" s="4" t="str">
        <f>HYPERLINK("https://www.ncbi.nlm.nih.gov/nucleotide/XM_018134802.1?report=genbank&amp;log$=nucltop&amp;blast_rank=41&amp;RID=5VFWFSXU016","XM_018134802.1")</f>
        <v>XM_018134802.1</v>
      </c>
    </row>
    <row r="147" spans="1:7" x14ac:dyDescent="0.35">
      <c r="A147" t="s">
        <v>1267</v>
      </c>
      <c r="B147">
        <v>60.8</v>
      </c>
      <c r="C147">
        <v>60.8</v>
      </c>
      <c r="D147" s="2">
        <v>0.13</v>
      </c>
      <c r="E147" s="3">
        <v>1.0000000000000001E-5</v>
      </c>
      <c r="F147">
        <v>39.68</v>
      </c>
      <c r="G147" t="str">
        <f>HYPERLINK("https://www.ncbi.nlm.nih.gov/nucleotide/XM_018422783.1?report=genbank&amp;log$=nucltop&amp;blast_rank=42&amp;RID=5VFWFSXU016","XM_018422783.1")</f>
        <v>XM_018422783.1</v>
      </c>
    </row>
    <row r="148" spans="1:7" x14ac:dyDescent="0.35">
      <c r="A148" t="s">
        <v>17</v>
      </c>
      <c r="B148">
        <v>114</v>
      </c>
      <c r="C148">
        <v>114</v>
      </c>
      <c r="D148" s="2">
        <v>0.43</v>
      </c>
      <c r="E148" s="3">
        <v>1E-22</v>
      </c>
      <c r="F148">
        <v>39.340000000000003</v>
      </c>
      <c r="G148" t="str">
        <f>HYPERLINK("https://www.ncbi.nlm.nih.gov/nucleotide/CP015461.1?report=genbank&amp;log$=nucltop&amp;blast_rank=43&amp;RID=5VFWFSXU016","CP015461.1")</f>
        <v>CP015461.1</v>
      </c>
    </row>
    <row r="149" spans="1:7" x14ac:dyDescent="0.35">
      <c r="A149" t="s">
        <v>18</v>
      </c>
      <c r="B149">
        <v>114</v>
      </c>
      <c r="C149">
        <v>114</v>
      </c>
      <c r="D149" s="2">
        <v>0.43</v>
      </c>
      <c r="E149" s="3">
        <v>1E-22</v>
      </c>
      <c r="F149">
        <v>39.340000000000003</v>
      </c>
      <c r="G149" t="str">
        <f>HYPERLINK("https://www.ncbi.nlm.nih.gov/nucleotide/CP015474.1?report=genbank&amp;log$=nucltop&amp;blast_rank=44&amp;RID=5VFWFSXU016","CP015474.1")</f>
        <v>CP015474.1</v>
      </c>
    </row>
    <row r="150" spans="1:7" x14ac:dyDescent="0.35">
      <c r="A150" t="s">
        <v>16</v>
      </c>
      <c r="B150">
        <v>114</v>
      </c>
      <c r="C150">
        <v>114</v>
      </c>
      <c r="D150" s="2">
        <v>0.43</v>
      </c>
      <c r="E150" s="3">
        <v>1E-22</v>
      </c>
      <c r="F150">
        <v>39.340000000000003</v>
      </c>
      <c r="G150" t="str">
        <f>HYPERLINK("https://www.ncbi.nlm.nih.gov/nucleotide/CP039877.1?report=genbank&amp;log$=nucltop&amp;blast_rank=45&amp;RID=5VFWFSXU016","CP039877.1")</f>
        <v>CP039877.1</v>
      </c>
    </row>
    <row r="151" spans="1:7" x14ac:dyDescent="0.35">
      <c r="A151" t="s">
        <v>1268</v>
      </c>
      <c r="B151">
        <v>62.8</v>
      </c>
      <c r="C151">
        <v>62.8</v>
      </c>
      <c r="D151" s="2">
        <v>0.13</v>
      </c>
      <c r="E151" s="3">
        <v>1.9999999999999999E-6</v>
      </c>
      <c r="F151">
        <v>38.979999999999997</v>
      </c>
      <c r="G151" t="str">
        <f>HYPERLINK("https://www.ncbi.nlm.nih.gov/nucleotide/XM_032001799.1?report=genbank&amp;log$=nucltop&amp;blast_rank=46&amp;RID=5VFWFSXU016","XM_032001799.1")</f>
        <v>XM_032001799.1</v>
      </c>
    </row>
    <row r="152" spans="1:7" x14ac:dyDescent="0.35">
      <c r="A152" t="s">
        <v>121</v>
      </c>
      <c r="B152">
        <v>96.7</v>
      </c>
      <c r="C152">
        <v>96.7</v>
      </c>
      <c r="D152" s="2">
        <v>0.25</v>
      </c>
      <c r="E152" s="3">
        <v>2E-19</v>
      </c>
      <c r="F152">
        <v>38.94</v>
      </c>
      <c r="G152" t="str">
        <f>HYPERLINK("https://www.ncbi.nlm.nih.gov/nucleotide/XM_007263292.1?report=genbank&amp;log$=nucltop&amp;blast_rank=47&amp;RID=5VFWFSXU016","XM_007263292.1")</f>
        <v>XM_007263292.1</v>
      </c>
    </row>
    <row r="153" spans="1:7" x14ac:dyDescent="0.35">
      <c r="A153" t="s">
        <v>170</v>
      </c>
      <c r="B153">
        <v>76.599999999999994</v>
      </c>
      <c r="C153">
        <v>76.599999999999994</v>
      </c>
      <c r="D153" s="2">
        <v>0.19</v>
      </c>
      <c r="E153" s="3">
        <v>1E-10</v>
      </c>
      <c r="F153">
        <v>38.369999999999997</v>
      </c>
      <c r="G153" t="str">
        <f>HYPERLINK("https://www.ncbi.nlm.nih.gov/nucleotide/XM_012333207.1?report=genbank&amp;log$=nucltop&amp;blast_rank=48&amp;RID=5VFWFSXU016","XM_012333207.1")</f>
        <v>XM_012333207.1</v>
      </c>
    </row>
    <row r="154" spans="1:7" x14ac:dyDescent="0.35">
      <c r="A154" t="s">
        <v>122</v>
      </c>
      <c r="B154">
        <v>107</v>
      </c>
      <c r="C154">
        <v>107</v>
      </c>
      <c r="D154" s="2">
        <v>0.45</v>
      </c>
      <c r="E154" s="3">
        <v>7.9999999999999993E-21</v>
      </c>
      <c r="F154">
        <v>37.31</v>
      </c>
      <c r="G154" t="str">
        <f>HYPERLINK("https://www.ncbi.nlm.nih.gov/nucleotide/XM_007362291.1?report=genbank&amp;log$=nucltop&amp;blast_rank=49&amp;RID=5VFWFSXU016","XM_007362291.1")</f>
        <v>XM_007362291.1</v>
      </c>
    </row>
    <row r="155" spans="1:7" x14ac:dyDescent="0.35">
      <c r="A155" t="s">
        <v>171</v>
      </c>
      <c r="B155">
        <v>61.2</v>
      </c>
      <c r="C155">
        <v>61.2</v>
      </c>
      <c r="D155" s="2">
        <v>0.13</v>
      </c>
      <c r="E155" s="3">
        <v>7.9999999999999996E-6</v>
      </c>
      <c r="F155">
        <v>37.29</v>
      </c>
      <c r="G155" t="str">
        <f>HYPERLINK("https://www.ncbi.nlm.nih.gov/nucleotide/XM_036774740.1?report=genbank&amp;log$=nucltop&amp;blast_rank=50&amp;RID=5VFWFSXU016","XM_036774740.1")</f>
        <v>XM_036774740.1</v>
      </c>
    </row>
    <row r="156" spans="1:7" x14ac:dyDescent="0.35">
      <c r="A156" t="s">
        <v>190</v>
      </c>
      <c r="B156">
        <v>76.3</v>
      </c>
      <c r="C156">
        <v>76.3</v>
      </c>
      <c r="D156" s="2">
        <v>0.2</v>
      </c>
      <c r="E156" s="3">
        <v>2.0000000000000001E-10</v>
      </c>
      <c r="F156">
        <v>36.67</v>
      </c>
      <c r="G156" t="str">
        <f>HYPERLINK("https://www.ncbi.nlm.nih.gov/nucleotide/HG529702.1?report=genbank&amp;log$=nucltop&amp;blast_rank=51&amp;RID=5VFWFSXU016","HG529702.1")</f>
        <v>HG529702.1</v>
      </c>
    </row>
    <row r="157" spans="1:7" x14ac:dyDescent="0.35">
      <c r="A157" t="s">
        <v>131</v>
      </c>
      <c r="B157">
        <v>59.7</v>
      </c>
      <c r="C157">
        <v>59.7</v>
      </c>
      <c r="D157" s="2">
        <v>0.18</v>
      </c>
      <c r="E157" s="3">
        <v>2.0000000000000002E-5</v>
      </c>
      <c r="F157">
        <v>36.590000000000003</v>
      </c>
      <c r="G157" t="str">
        <f>HYPERLINK("https://www.ncbi.nlm.nih.gov/nucleotide/XM_025316520.1?report=genbank&amp;log$=nucltop&amp;blast_rank=52&amp;RID=5VFWFSXU016","XM_025316520.1")</f>
        <v>XM_025316520.1</v>
      </c>
    </row>
    <row r="158" spans="1:7" x14ac:dyDescent="0.35">
      <c r="A158" t="s">
        <v>1269</v>
      </c>
      <c r="B158">
        <v>70.5</v>
      </c>
      <c r="C158">
        <v>70.5</v>
      </c>
      <c r="D158" s="2">
        <v>0.16</v>
      </c>
      <c r="E158" s="3">
        <v>8.9999999999999995E-9</v>
      </c>
      <c r="F158">
        <v>36.49</v>
      </c>
      <c r="G158" t="str">
        <f>HYPERLINK("https://www.ncbi.nlm.nih.gov/nucleotide/XM_014326541.1?report=genbank&amp;log$=nucltop&amp;blast_rank=53&amp;RID=5VFWFSXU016","XM_014326541.1")</f>
        <v>XM_014326541.1</v>
      </c>
    </row>
    <row r="159" spans="1:7" x14ac:dyDescent="0.35">
      <c r="A159" t="s">
        <v>1270</v>
      </c>
      <c r="B159">
        <v>64.7</v>
      </c>
      <c r="C159">
        <v>64.7</v>
      </c>
      <c r="D159" s="2">
        <v>0.15</v>
      </c>
      <c r="E159" s="3">
        <v>6.9999999999999997E-7</v>
      </c>
      <c r="F159">
        <v>36.49</v>
      </c>
      <c r="G159" t="str">
        <f>HYPERLINK("https://www.ncbi.nlm.nih.gov/nucleotide/XM_028623165.1?report=genbank&amp;log$=nucltop&amp;blast_rank=54&amp;RID=5VFWFSXU016","XM_028623165.1")</f>
        <v>XM_028623165.1</v>
      </c>
    </row>
    <row r="160" spans="1:7" x14ac:dyDescent="0.35">
      <c r="A160" t="s">
        <v>1271</v>
      </c>
      <c r="B160">
        <v>84.7</v>
      </c>
      <c r="C160">
        <v>84.7</v>
      </c>
      <c r="D160" s="2">
        <v>0.27</v>
      </c>
      <c r="E160" s="3">
        <v>2.9999999999999998E-13</v>
      </c>
      <c r="F160">
        <v>35.659999999999997</v>
      </c>
      <c r="G160" t="str">
        <f>HYPERLINK("https://www.ncbi.nlm.nih.gov/nucleotide/XM_025512649.1?report=genbank&amp;log$=nucltop&amp;blast_rank=55&amp;RID=5VFWFSXU016","XM_025512649.1")</f>
        <v>XM_025512649.1</v>
      </c>
    </row>
    <row r="161" spans="1:7" x14ac:dyDescent="0.35">
      <c r="A161" s="4" t="s">
        <v>820</v>
      </c>
      <c r="B161" s="4">
        <v>60.1</v>
      </c>
      <c r="C161" s="4">
        <v>60.1</v>
      </c>
      <c r="D161" s="5">
        <v>0.13</v>
      </c>
      <c r="E161" s="6">
        <v>2.0000000000000002E-5</v>
      </c>
      <c r="F161" s="4">
        <v>35.590000000000003</v>
      </c>
      <c r="G161" s="4" t="str">
        <f>HYPERLINK("https://www.ncbi.nlm.nih.gov/nucleotide/XM_002911188.1?report=genbank&amp;log$=nucltop&amp;blast_rank=56&amp;RID=5VFWFSXU016","XM_002911188.1")</f>
        <v>XM_002911188.1</v>
      </c>
    </row>
    <row r="162" spans="1:7" x14ac:dyDescent="0.35">
      <c r="A162" t="s">
        <v>1272</v>
      </c>
      <c r="B162">
        <v>68.900000000000006</v>
      </c>
      <c r="C162">
        <v>68.900000000000006</v>
      </c>
      <c r="D162" s="2">
        <v>0.17</v>
      </c>
      <c r="E162" s="3">
        <v>2E-8</v>
      </c>
      <c r="F162">
        <v>35.53</v>
      </c>
      <c r="G162" t="str">
        <f>HYPERLINK("https://www.ncbi.nlm.nih.gov/nucleotide/XM_023605331.1?report=genbank&amp;log$=nucltop&amp;blast_rank=57&amp;RID=5VFWFSXU016","XM_023605331.1")</f>
        <v>XM_023605331.1</v>
      </c>
    </row>
    <row r="163" spans="1:7" x14ac:dyDescent="0.35">
      <c r="A163" t="s">
        <v>137</v>
      </c>
      <c r="B163">
        <v>137</v>
      </c>
      <c r="C163">
        <v>137</v>
      </c>
      <c r="D163" s="2">
        <v>0.85</v>
      </c>
      <c r="E163" s="3">
        <v>4.0000000000000003E-31</v>
      </c>
      <c r="F163">
        <v>34.630000000000003</v>
      </c>
      <c r="G163" t="str">
        <f>HYPERLINK("https://www.ncbi.nlm.nih.gov/nucleotide/XM_001836370.2?report=genbank&amp;log$=nucltop&amp;blast_rank=58&amp;RID=5VFWFSXU016","XM_001836370.2")</f>
        <v>XM_001836370.2</v>
      </c>
    </row>
    <row r="164" spans="1:7" x14ac:dyDescent="0.35">
      <c r="A164" t="s">
        <v>189</v>
      </c>
      <c r="B164">
        <v>85.5</v>
      </c>
      <c r="C164">
        <v>85.5</v>
      </c>
      <c r="D164" s="2">
        <v>0.27</v>
      </c>
      <c r="E164" s="3">
        <v>2.0000000000000001E-13</v>
      </c>
      <c r="F164">
        <v>34.590000000000003</v>
      </c>
      <c r="G164" t="str">
        <f>HYPERLINK("https://www.ncbi.nlm.nih.gov/nucleotide/XM_007407308.1?report=genbank&amp;log$=nucltop&amp;blast_rank=59&amp;RID=5VFWFSXU016","XM_007407308.1")</f>
        <v>XM_007407308.1</v>
      </c>
    </row>
    <row r="165" spans="1:7" x14ac:dyDescent="0.35">
      <c r="A165" t="s">
        <v>120</v>
      </c>
      <c r="B165">
        <v>108</v>
      </c>
      <c r="C165">
        <v>108</v>
      </c>
      <c r="D165" s="2">
        <v>0.42</v>
      </c>
      <c r="E165" s="3">
        <v>2.9999999999999999E-21</v>
      </c>
      <c r="F165">
        <v>34.56</v>
      </c>
      <c r="G165" t="str">
        <f>HYPERLINK("https://www.ncbi.nlm.nih.gov/nucleotide/XM_012325304.1?report=genbank&amp;log$=nucltop&amp;blast_rank=60&amp;RID=5VFWFSXU016","XM_012325304.1")</f>
        <v>XM_012325304.1</v>
      </c>
    </row>
    <row r="166" spans="1:7" x14ac:dyDescent="0.35">
      <c r="A166" t="s">
        <v>192</v>
      </c>
      <c r="B166">
        <v>77</v>
      </c>
      <c r="C166">
        <v>77</v>
      </c>
      <c r="D166" s="2">
        <v>0.2</v>
      </c>
      <c r="E166" s="3">
        <v>1E-10</v>
      </c>
      <c r="F166">
        <v>34.44</v>
      </c>
      <c r="G166" t="str">
        <f>HYPERLINK("https://www.ncbi.nlm.nih.gov/nucleotide/LT558139.1?report=genbank&amp;log$=nucltop&amp;blast_rank=61&amp;RID=5VFWFSXU016","LT558139.1")</f>
        <v>LT558139.1</v>
      </c>
    </row>
    <row r="167" spans="1:7" x14ac:dyDescent="0.35">
      <c r="A167" t="s">
        <v>21</v>
      </c>
      <c r="B167">
        <v>67.8</v>
      </c>
      <c r="C167">
        <v>67.8</v>
      </c>
      <c r="D167" s="2">
        <v>0.21</v>
      </c>
      <c r="E167" s="3">
        <v>4.0000000000000001E-8</v>
      </c>
      <c r="F167">
        <v>33.67</v>
      </c>
      <c r="G167" t="str">
        <f>HYPERLINK("https://www.ncbi.nlm.nih.gov/nucleotide/XM_009545687.1?report=genbank&amp;log$=nucltop&amp;blast_rank=62&amp;RID=5VFWFSXU016","XM_009545687.1")</f>
        <v>XM_009545687.1</v>
      </c>
    </row>
    <row r="168" spans="1:7" x14ac:dyDescent="0.35">
      <c r="A168" t="s">
        <v>1273</v>
      </c>
      <c r="B168">
        <v>64.3</v>
      </c>
      <c r="C168">
        <v>64.3</v>
      </c>
      <c r="D168" s="2">
        <v>0.15</v>
      </c>
      <c r="E168" s="3">
        <v>8.9999999999999996E-7</v>
      </c>
      <c r="F168">
        <v>33.33</v>
      </c>
      <c r="G168" t="str">
        <f>HYPERLINK("https://www.ncbi.nlm.nih.gov/nucleotide/XM_018409410.1?report=genbank&amp;log$=nucltop&amp;blast_rank=63&amp;RID=5VFWFSXU016","XM_018409410.1")</f>
        <v>XM_018409410.1</v>
      </c>
    </row>
    <row r="169" spans="1:7" x14ac:dyDescent="0.35">
      <c r="A169" t="s">
        <v>822</v>
      </c>
      <c r="B169">
        <v>68.900000000000006</v>
      </c>
      <c r="C169">
        <v>68.900000000000006</v>
      </c>
      <c r="D169" s="2">
        <v>0.27</v>
      </c>
      <c r="E169" s="3">
        <v>2.9999999999999997E-8</v>
      </c>
      <c r="F169">
        <v>32.799999999999997</v>
      </c>
      <c r="G169" t="str">
        <f>HYPERLINK("https://www.ncbi.nlm.nih.gov/nucleotide/XM_007302807.1?report=genbank&amp;log$=nucltop&amp;blast_rank=64&amp;RID=5VFWFSXU016","XM_007302807.1")</f>
        <v>XM_007302807.1</v>
      </c>
    </row>
    <row r="170" spans="1:7" x14ac:dyDescent="0.35">
      <c r="A170" t="s">
        <v>126</v>
      </c>
      <c r="B170">
        <v>90.9</v>
      </c>
      <c r="C170">
        <v>90.9</v>
      </c>
      <c r="D170" s="2">
        <v>0.51</v>
      </c>
      <c r="E170" s="3">
        <v>2.9999999999999998E-15</v>
      </c>
      <c r="F170">
        <v>32.229999999999997</v>
      </c>
      <c r="G170" t="str">
        <f>HYPERLINK("https://www.ncbi.nlm.nih.gov/nucleotide/XM_007767799.1?report=genbank&amp;log$=nucltop&amp;blast_rank=65&amp;RID=5VFWFSXU016","XM_007767799.1")</f>
        <v>XM_007767799.1</v>
      </c>
    </row>
    <row r="171" spans="1:7" x14ac:dyDescent="0.35">
      <c r="A171" t="s">
        <v>1274</v>
      </c>
      <c r="B171">
        <v>54.7</v>
      </c>
      <c r="C171">
        <v>54.7</v>
      </c>
      <c r="D171" s="2">
        <v>0.17</v>
      </c>
      <c r="E171" s="3">
        <v>5.9999999999999995E-4</v>
      </c>
      <c r="F171">
        <v>31.65</v>
      </c>
      <c r="G171" t="str">
        <f>HYPERLINK("https://www.ncbi.nlm.nih.gov/nucleotide/XM_022022427.1?report=genbank&amp;log$=nucltop&amp;blast_rank=66&amp;RID=5VFWFSXU016","XM_022022427.1")</f>
        <v>XM_022022427.1</v>
      </c>
    </row>
    <row r="172" spans="1:7" x14ac:dyDescent="0.35">
      <c r="A172" s="1" t="s">
        <v>1275</v>
      </c>
    </row>
    <row r="173" spans="1:7" x14ac:dyDescent="0.35">
      <c r="A173" s="1" t="s">
        <v>2</v>
      </c>
      <c r="B173" s="1" t="s">
        <v>3</v>
      </c>
      <c r="C173" s="1" t="s">
        <v>4</v>
      </c>
      <c r="D173" s="1" t="s">
        <v>5</v>
      </c>
      <c r="E173" s="1" t="s">
        <v>6</v>
      </c>
      <c r="F173" s="1" t="s">
        <v>7</v>
      </c>
      <c r="G173" s="1" t="s">
        <v>8</v>
      </c>
    </row>
    <row r="174" spans="1:7" x14ac:dyDescent="0.35">
      <c r="A174" t="s">
        <v>198</v>
      </c>
      <c r="B174">
        <v>274</v>
      </c>
      <c r="C174">
        <v>274</v>
      </c>
      <c r="D174" s="2">
        <v>0.92</v>
      </c>
      <c r="E174" s="3">
        <v>5.0000000000000004E-87</v>
      </c>
      <c r="F174">
        <v>57.94</v>
      </c>
      <c r="G174" t="str">
        <f>HYPERLINK("https://www.ncbi.nlm.nih.gov/nucleotide/XM_007870715.1?report=genbank&amp;log$=nucltop&amp;blast_rank=1&amp;RID=5VFXR068013","XM_007870715.1")</f>
        <v>XM_007870715.1</v>
      </c>
    </row>
    <row r="175" spans="1:7" x14ac:dyDescent="0.35">
      <c r="A175" t="s">
        <v>9</v>
      </c>
      <c r="B175">
        <v>145</v>
      </c>
      <c r="C175">
        <v>360</v>
      </c>
      <c r="D175" s="2">
        <v>1</v>
      </c>
      <c r="E175" s="3">
        <v>6.0000000000000002E-83</v>
      </c>
      <c r="F175">
        <v>57.04</v>
      </c>
      <c r="G175" t="str">
        <f>HYPERLINK("https://www.ncbi.nlm.nih.gov/nucleotide/LR732079.1?report=genbank&amp;log$=nucltop&amp;blast_rank=2&amp;RID=5VFXR068013","LR732079.1")</f>
        <v>LR732079.1</v>
      </c>
    </row>
    <row r="176" spans="1:7" x14ac:dyDescent="0.35">
      <c r="A176" t="s">
        <v>21</v>
      </c>
      <c r="B176">
        <v>229</v>
      </c>
      <c r="C176">
        <v>229</v>
      </c>
      <c r="D176" s="2">
        <v>0.78</v>
      </c>
      <c r="E176" s="3">
        <v>3.9999999999999999E-72</v>
      </c>
      <c r="F176">
        <v>56.63</v>
      </c>
      <c r="G176" t="str">
        <f>HYPERLINK("https://www.ncbi.nlm.nih.gov/nucleotide/XM_009546989.1?report=genbank&amp;log$=nucltop&amp;blast_rank=3&amp;RID=5VFXR068013","XM_009546989.1")</f>
        <v>XM_009546989.1</v>
      </c>
    </row>
    <row r="177" spans="1:7" x14ac:dyDescent="0.35">
      <c r="A177" t="s">
        <v>18</v>
      </c>
      <c r="B177">
        <v>164</v>
      </c>
      <c r="C177">
        <v>164</v>
      </c>
      <c r="D177" s="2">
        <v>0.54</v>
      </c>
      <c r="E177" s="3">
        <v>6.0000000000000005E-42</v>
      </c>
      <c r="F177">
        <v>56.41</v>
      </c>
      <c r="G177" t="str">
        <f>HYPERLINK("https://www.ncbi.nlm.nih.gov/nucleotide/CP015474.1?report=genbank&amp;log$=nucltop&amp;blast_rank=4&amp;RID=5VFXR068013","CP015474.1")</f>
        <v>CP015474.1</v>
      </c>
    </row>
    <row r="178" spans="1:7" x14ac:dyDescent="0.35">
      <c r="A178" t="s">
        <v>17</v>
      </c>
      <c r="B178">
        <v>164</v>
      </c>
      <c r="C178">
        <v>164</v>
      </c>
      <c r="D178" s="2">
        <v>0.54</v>
      </c>
      <c r="E178" s="3">
        <v>6.0000000000000005E-42</v>
      </c>
      <c r="F178">
        <v>56.41</v>
      </c>
      <c r="G178" t="str">
        <f>HYPERLINK("https://www.ncbi.nlm.nih.gov/nucleotide/CP015461.1?report=genbank&amp;log$=nucltop&amp;blast_rank=5&amp;RID=5VFXR068013","CP015461.1")</f>
        <v>CP015461.1</v>
      </c>
    </row>
    <row r="179" spans="1:7" x14ac:dyDescent="0.35">
      <c r="A179" t="s">
        <v>16</v>
      </c>
      <c r="B179">
        <v>164</v>
      </c>
      <c r="C179">
        <v>164</v>
      </c>
      <c r="D179" s="2">
        <v>0.54</v>
      </c>
      <c r="E179" s="3">
        <v>6.0000000000000005E-42</v>
      </c>
      <c r="F179">
        <v>56.41</v>
      </c>
      <c r="G179" t="str">
        <f>HYPERLINK("https://www.ncbi.nlm.nih.gov/nucleotide/CP039877.1?report=genbank&amp;log$=nucltop&amp;blast_rank=6&amp;RID=5VFXR068013","CP039877.1")</f>
        <v>CP039877.1</v>
      </c>
    </row>
    <row r="180" spans="1:7" x14ac:dyDescent="0.35">
      <c r="A180" t="s">
        <v>473</v>
      </c>
      <c r="B180">
        <v>154</v>
      </c>
      <c r="C180">
        <v>154</v>
      </c>
      <c r="D180" s="2">
        <v>0.57999999999999996</v>
      </c>
      <c r="E180" s="3">
        <v>2.9999999999999999E-38</v>
      </c>
      <c r="F180">
        <v>56.1</v>
      </c>
      <c r="G180" t="str">
        <f>HYPERLINK("https://www.ncbi.nlm.nih.gov/nucleotide/CP068007.1?report=genbank&amp;log$=nucltop&amp;blast_rank=7&amp;RID=5VFXR068013","CP068007.1")</f>
        <v>CP068007.1</v>
      </c>
    </row>
    <row r="181" spans="1:7" x14ac:dyDescent="0.35">
      <c r="A181" t="s">
        <v>200</v>
      </c>
      <c r="B181">
        <v>258</v>
      </c>
      <c r="C181">
        <v>258</v>
      </c>
      <c r="D181" s="2">
        <v>0.89</v>
      </c>
      <c r="E181" s="3">
        <v>8E-79</v>
      </c>
      <c r="F181">
        <v>55.56</v>
      </c>
      <c r="G181" t="str">
        <f>HYPERLINK("https://www.ncbi.nlm.nih.gov/nucleotide/XM_003029540.1?report=genbank&amp;log$=nucltop&amp;blast_rank=8&amp;RID=5VFXR068013","XM_003029540.1")</f>
        <v>XM_003029540.1</v>
      </c>
    </row>
    <row r="182" spans="1:7" x14ac:dyDescent="0.35">
      <c r="A182" t="s">
        <v>201</v>
      </c>
      <c r="B182">
        <v>256</v>
      </c>
      <c r="C182">
        <v>256</v>
      </c>
      <c r="D182" s="2">
        <v>0.92</v>
      </c>
      <c r="E182" s="3">
        <v>4E-79</v>
      </c>
      <c r="F182">
        <v>55.17</v>
      </c>
      <c r="G182" t="str">
        <f>HYPERLINK("https://www.ncbi.nlm.nih.gov/nucleotide/XM_027763129.1?report=genbank&amp;log$=nucltop&amp;blast_rank=9&amp;RID=5VFXR068013","XM_027763129.1")</f>
        <v>XM_027763129.1</v>
      </c>
    </row>
    <row r="183" spans="1:7" x14ac:dyDescent="0.35">
      <c r="A183" t="s">
        <v>205</v>
      </c>
      <c r="B183">
        <v>254</v>
      </c>
      <c r="C183">
        <v>254</v>
      </c>
      <c r="D183" s="2">
        <v>0.9</v>
      </c>
      <c r="E183" s="3">
        <v>3E-79</v>
      </c>
      <c r="F183">
        <v>54.82</v>
      </c>
      <c r="G183" t="str">
        <f>HYPERLINK("https://www.ncbi.nlm.nih.gov/nucleotide/XM_007318641.1?report=genbank&amp;log$=nucltop&amp;blast_rank=10&amp;RID=5VFXR068013","XM_007318641.1")</f>
        <v>XM_007318641.1</v>
      </c>
    </row>
    <row r="184" spans="1:7" x14ac:dyDescent="0.35">
      <c r="A184" t="s">
        <v>204</v>
      </c>
      <c r="B184">
        <v>259</v>
      </c>
      <c r="C184">
        <v>259</v>
      </c>
      <c r="D184" s="2">
        <v>0.98</v>
      </c>
      <c r="E184" s="3">
        <v>3.9999999999999998E-81</v>
      </c>
      <c r="F184">
        <v>54.07</v>
      </c>
      <c r="G184" t="str">
        <f>HYPERLINK("https://www.ncbi.nlm.nih.gov/nucleotide/XM_008041438.1?report=genbank&amp;log$=nucltop&amp;blast_rank=11&amp;RID=5VFXR068013","XM_008041438.1")</f>
        <v>XM_008041438.1</v>
      </c>
    </row>
    <row r="185" spans="1:7" x14ac:dyDescent="0.35">
      <c r="A185" t="s">
        <v>203</v>
      </c>
      <c r="B185">
        <v>241</v>
      </c>
      <c r="C185">
        <v>241</v>
      </c>
      <c r="D185" s="2">
        <v>0.92</v>
      </c>
      <c r="E185" s="3">
        <v>1.9999999999999999E-75</v>
      </c>
      <c r="F185">
        <v>53.59</v>
      </c>
      <c r="G185" t="str">
        <f>HYPERLINK("https://www.ncbi.nlm.nih.gov/nucleotide/XM_007263367.1?report=genbank&amp;log$=nucltop&amp;blast_rank=12&amp;RID=5VFXR068013","XM_007263367.1")</f>
        <v>XM_007263367.1</v>
      </c>
    </row>
    <row r="186" spans="1:7" x14ac:dyDescent="0.35">
      <c r="A186" t="s">
        <v>202</v>
      </c>
      <c r="B186">
        <v>259</v>
      </c>
      <c r="C186">
        <v>259</v>
      </c>
      <c r="D186" s="2">
        <v>0.95</v>
      </c>
      <c r="E186" s="3">
        <v>9.9999999999999996E-83</v>
      </c>
      <c r="F186">
        <v>53.5</v>
      </c>
      <c r="G186" t="str">
        <f>HYPERLINK("https://www.ncbi.nlm.nih.gov/nucleotide/XM_007389005.1?report=genbank&amp;log$=nucltop&amp;blast_rank=13&amp;RID=5VFXR068013","XM_007389005.1")</f>
        <v>XM_007389005.1</v>
      </c>
    </row>
    <row r="187" spans="1:7" x14ac:dyDescent="0.35">
      <c r="A187" t="s">
        <v>206</v>
      </c>
      <c r="B187">
        <v>253</v>
      </c>
      <c r="C187">
        <v>253</v>
      </c>
      <c r="D187" s="2">
        <v>0.92</v>
      </c>
      <c r="E187" s="3">
        <v>5E-79</v>
      </c>
      <c r="F187">
        <v>53.25</v>
      </c>
      <c r="G187" t="str">
        <f>HYPERLINK("https://www.ncbi.nlm.nih.gov/nucleotide/XM_024477854.1?report=genbank&amp;log$=nucltop&amp;blast_rank=14&amp;RID=5VFXR068013","XM_024477854.1")</f>
        <v>XM_024477854.1</v>
      </c>
    </row>
    <row r="188" spans="1:7" x14ac:dyDescent="0.35">
      <c r="A188" t="s">
        <v>207</v>
      </c>
      <c r="B188">
        <v>247</v>
      </c>
      <c r="C188">
        <v>247</v>
      </c>
      <c r="D188" s="2">
        <v>0.91</v>
      </c>
      <c r="E188" s="3">
        <v>2E-78</v>
      </c>
      <c r="F188">
        <v>53.04</v>
      </c>
      <c r="G188" t="str">
        <f>HYPERLINK("https://www.ncbi.nlm.nih.gov/nucleotide/XM_006459159.1?report=genbank&amp;log$=nucltop&amp;blast_rank=15&amp;RID=5VFXR068013","XM_006459159.1")</f>
        <v>XM_006459159.1</v>
      </c>
    </row>
    <row r="189" spans="1:7" x14ac:dyDescent="0.35">
      <c r="A189" t="s">
        <v>199</v>
      </c>
      <c r="B189">
        <v>255</v>
      </c>
      <c r="C189">
        <v>255</v>
      </c>
      <c r="D189" s="2">
        <v>0.93</v>
      </c>
      <c r="E189" s="3">
        <v>7.0000000000000003E-80</v>
      </c>
      <c r="F189">
        <v>52.77</v>
      </c>
      <c r="G189" t="str">
        <f>HYPERLINK("https://www.ncbi.nlm.nih.gov/nucleotide/XM_007393489.1?report=genbank&amp;log$=nucltop&amp;blast_rank=16&amp;RID=5VFXR068013","XM_007393489.1")</f>
        <v>XM_007393489.1</v>
      </c>
    </row>
    <row r="190" spans="1:7" x14ac:dyDescent="0.35">
      <c r="A190" t="s">
        <v>120</v>
      </c>
      <c r="B190">
        <v>260</v>
      </c>
      <c r="C190">
        <v>260</v>
      </c>
      <c r="D190" s="2">
        <v>0.98</v>
      </c>
      <c r="E190" s="3">
        <v>2.0000000000000001E-83</v>
      </c>
      <c r="F190">
        <v>52.02</v>
      </c>
      <c r="G190" t="str">
        <f>HYPERLINK("https://www.ncbi.nlm.nih.gov/nucleotide/XM_012328136.1?report=genbank&amp;log$=nucltop&amp;blast_rank=17&amp;RID=5VFXR068013","XM_012328136.1")</f>
        <v>XM_012328136.1</v>
      </c>
    </row>
    <row r="191" spans="1:7" x14ac:dyDescent="0.35">
      <c r="A191" t="s">
        <v>208</v>
      </c>
      <c r="B191">
        <v>242</v>
      </c>
      <c r="C191">
        <v>242</v>
      </c>
      <c r="D191" s="2">
        <v>0.94</v>
      </c>
      <c r="E191" s="3">
        <v>3.0000000000000002E-76</v>
      </c>
      <c r="F191">
        <v>51.85</v>
      </c>
      <c r="G191" t="str">
        <f>HYPERLINK("https://www.ncbi.nlm.nih.gov/nucleotide/XM_037359090.1?report=genbank&amp;log$=nucltop&amp;blast_rank=18&amp;RID=5VFXR068013","XM_037359090.1")</f>
        <v>XM_037359090.1</v>
      </c>
    </row>
    <row r="192" spans="1:7" x14ac:dyDescent="0.35">
      <c r="A192" t="s">
        <v>217</v>
      </c>
      <c r="B192">
        <v>239</v>
      </c>
      <c r="C192">
        <v>239</v>
      </c>
      <c r="D192" s="2">
        <v>0.9</v>
      </c>
      <c r="E192" s="3">
        <v>4.9999999999999998E-75</v>
      </c>
      <c r="F192">
        <v>51.1</v>
      </c>
      <c r="G192" t="str">
        <f>HYPERLINK("https://www.ncbi.nlm.nih.gov/nucleotide/XM_007362271.1?report=genbank&amp;log$=nucltop&amp;blast_rank=19&amp;RID=5VFXR068013","XM_007362271.1")</f>
        <v>XM_007362271.1</v>
      </c>
    </row>
    <row r="193" spans="1:7" x14ac:dyDescent="0.35">
      <c r="A193" t="s">
        <v>177</v>
      </c>
      <c r="B193">
        <v>239</v>
      </c>
      <c r="C193">
        <v>239</v>
      </c>
      <c r="D193" s="2">
        <v>0.89</v>
      </c>
      <c r="E193" s="3">
        <v>1.9999999999999999E-74</v>
      </c>
      <c r="F193">
        <v>50.67</v>
      </c>
      <c r="G193" t="str">
        <f>HYPERLINK("https://www.ncbi.nlm.nih.gov/nucleotide/XM_007767661.1?report=genbank&amp;log$=nucltop&amp;blast_rank=20&amp;RID=5VFXR068013","XM_007767661.1")</f>
        <v>XM_007767661.1</v>
      </c>
    </row>
    <row r="194" spans="1:7" x14ac:dyDescent="0.35">
      <c r="A194" t="s">
        <v>210</v>
      </c>
      <c r="B194">
        <v>131</v>
      </c>
      <c r="C194">
        <v>131</v>
      </c>
      <c r="D194" s="2">
        <v>0.57999999999999996</v>
      </c>
      <c r="E194" s="3">
        <v>1.0000000000000001E-32</v>
      </c>
      <c r="F194">
        <v>50</v>
      </c>
      <c r="G194" t="str">
        <f>HYPERLINK("https://www.ncbi.nlm.nih.gov/nucleotide/XM_031139192.1?report=genbank&amp;log$=nucltop&amp;blast_rank=21&amp;RID=5VFXR068013","XM_031139192.1")</f>
        <v>XM_031139192.1</v>
      </c>
    </row>
    <row r="195" spans="1:7" x14ac:dyDescent="0.35">
      <c r="A195" t="s">
        <v>220</v>
      </c>
      <c r="B195">
        <v>124</v>
      </c>
      <c r="C195">
        <v>124</v>
      </c>
      <c r="D195" s="2">
        <v>0.56000000000000005</v>
      </c>
      <c r="E195" s="3">
        <v>4.0000000000000003E-30</v>
      </c>
      <c r="F195">
        <v>50</v>
      </c>
      <c r="G195" t="str">
        <f>HYPERLINK("https://www.ncbi.nlm.nih.gov/nucleotide/XM_001819228.3?report=genbank&amp;log$=nucltop&amp;blast_rank=22&amp;RID=5VFXR068013","XM_001819228.3")</f>
        <v>XM_001819228.3</v>
      </c>
    </row>
    <row r="196" spans="1:7" x14ac:dyDescent="0.35">
      <c r="A196" t="s">
        <v>224</v>
      </c>
      <c r="B196">
        <v>125</v>
      </c>
      <c r="C196">
        <v>125</v>
      </c>
      <c r="D196" s="2">
        <v>0.55000000000000004</v>
      </c>
      <c r="E196" s="3">
        <v>6.9999999999999997E-31</v>
      </c>
      <c r="F196">
        <v>47.52</v>
      </c>
      <c r="G196" t="str">
        <f>HYPERLINK("https://www.ncbi.nlm.nih.gov/nucleotide/XM_022626531.1?report=genbank&amp;log$=nucltop&amp;blast_rank=23&amp;RID=5VFXR068013","XM_022626531.1")</f>
        <v>XM_022626531.1</v>
      </c>
    </row>
    <row r="197" spans="1:7" x14ac:dyDescent="0.35">
      <c r="A197" t="s">
        <v>107</v>
      </c>
      <c r="B197">
        <v>177</v>
      </c>
      <c r="C197">
        <v>177</v>
      </c>
      <c r="D197" s="2">
        <v>0.7</v>
      </c>
      <c r="E197" s="3">
        <v>1E-46</v>
      </c>
      <c r="F197">
        <v>46.98</v>
      </c>
      <c r="G197" t="str">
        <f>HYPERLINK("https://www.ncbi.nlm.nih.gov/nucleotide/CP019380.1?report=genbank&amp;log$=nucltop&amp;blast_rank=24&amp;RID=5VFXR068013","CP019380.1")</f>
        <v>CP019380.1</v>
      </c>
    </row>
    <row r="198" spans="1:7" x14ac:dyDescent="0.35">
      <c r="A198" t="s">
        <v>228</v>
      </c>
      <c r="B198">
        <v>132</v>
      </c>
      <c r="C198">
        <v>132</v>
      </c>
      <c r="D198" s="2">
        <v>0.6</v>
      </c>
      <c r="E198" s="3">
        <v>5.9999999999999996E-31</v>
      </c>
      <c r="F198">
        <v>46.45</v>
      </c>
      <c r="G198" t="str">
        <f>HYPERLINK("https://www.ncbi.nlm.nih.gov/nucleotide/LR026965.1?report=genbank&amp;log$=nucltop&amp;blast_rank=25&amp;RID=5VFXR068013","LR026965.1")</f>
        <v>LR026965.1</v>
      </c>
    </row>
    <row r="199" spans="1:7" x14ac:dyDescent="0.35">
      <c r="A199" t="s">
        <v>1276</v>
      </c>
      <c r="B199">
        <v>132</v>
      </c>
      <c r="C199">
        <v>132</v>
      </c>
      <c r="D199" s="2">
        <v>0.6</v>
      </c>
      <c r="E199" s="3">
        <v>5.9999999999999996E-31</v>
      </c>
      <c r="F199">
        <v>46.45</v>
      </c>
      <c r="G199" t="str">
        <f>HYPERLINK("https://www.ncbi.nlm.nih.gov/nucleotide/CP071494.1?report=genbank&amp;log$=nucltop&amp;blast_rank=26&amp;RID=5VFXR068013","CP071494.1")</f>
        <v>CP071494.1</v>
      </c>
    </row>
    <row r="200" spans="1:7" x14ac:dyDescent="0.35">
      <c r="A200" t="s">
        <v>229</v>
      </c>
      <c r="B200">
        <v>132</v>
      </c>
      <c r="C200">
        <v>132</v>
      </c>
      <c r="D200" s="2">
        <v>0.6</v>
      </c>
      <c r="E200" s="3">
        <v>9.0000000000000008E-31</v>
      </c>
      <c r="F200">
        <v>46.45</v>
      </c>
      <c r="G200" t="str">
        <f>HYPERLINK("https://www.ncbi.nlm.nih.gov/nucleotide/CU640366.1?report=genbank&amp;log$=nucltop&amp;blast_rank=27&amp;RID=5VFXR068013","CU640366.1")</f>
        <v>CU640366.1</v>
      </c>
    </row>
    <row r="201" spans="1:7" x14ac:dyDescent="0.35">
      <c r="A201" t="s">
        <v>230</v>
      </c>
      <c r="B201">
        <v>132</v>
      </c>
      <c r="C201">
        <v>132</v>
      </c>
      <c r="D201" s="2">
        <v>0.6</v>
      </c>
      <c r="E201" s="3">
        <v>9.0000000000000008E-31</v>
      </c>
      <c r="F201">
        <v>46.45</v>
      </c>
      <c r="G201" t="str">
        <f>HYPERLINK("https://www.ncbi.nlm.nih.gov/nucleotide/FO904937.1?report=genbank&amp;log$=nucltop&amp;blast_rank=28&amp;RID=5VFXR068013","FO904937.1")</f>
        <v>FO904937.1</v>
      </c>
    </row>
    <row r="202" spans="1:7" x14ac:dyDescent="0.35">
      <c r="A202" t="s">
        <v>215</v>
      </c>
      <c r="B202">
        <v>224</v>
      </c>
      <c r="C202">
        <v>224</v>
      </c>
      <c r="D202" s="2">
        <v>0.96</v>
      </c>
      <c r="E202" s="3">
        <v>9.9999999999999996E-70</v>
      </c>
      <c r="F202">
        <v>45.87</v>
      </c>
      <c r="G202" t="str">
        <f>HYPERLINK("https://www.ncbi.nlm.nih.gov/nucleotide/XM_007299197.1?report=genbank&amp;log$=nucltop&amp;blast_rank=29&amp;RID=5VFXR068013","XM_007299197.1")</f>
        <v>XM_007299197.1</v>
      </c>
    </row>
    <row r="203" spans="1:7" x14ac:dyDescent="0.35">
      <c r="A203" s="4" t="s">
        <v>235</v>
      </c>
      <c r="B203" s="4">
        <v>149</v>
      </c>
      <c r="C203" s="4">
        <v>149</v>
      </c>
      <c r="D203" s="5">
        <v>0.77</v>
      </c>
      <c r="E203" s="6">
        <v>3E-37</v>
      </c>
      <c r="F203" s="4">
        <v>44.72</v>
      </c>
      <c r="G203" s="4" t="str">
        <f>HYPERLINK("https://www.ncbi.nlm.nih.gov/nucleotide/XM_955647.2?report=genbank&amp;log$=nucltop&amp;blast_rank=30&amp;RID=5VFXR068013","XM_955647.2")</f>
        <v>XM_955647.2</v>
      </c>
    </row>
    <row r="204" spans="1:7" x14ac:dyDescent="0.35">
      <c r="A204" t="s">
        <v>233</v>
      </c>
      <c r="B204">
        <v>150</v>
      </c>
      <c r="C204">
        <v>150</v>
      </c>
      <c r="D204" s="2">
        <v>0.8</v>
      </c>
      <c r="E204" s="3">
        <v>3.9999999999999997E-40</v>
      </c>
      <c r="F204">
        <v>44.71</v>
      </c>
      <c r="G204" t="str">
        <f>HYPERLINK("https://www.ncbi.nlm.nih.gov/nucleotide/XM_002842253.1?report=genbank&amp;log$=nucltop&amp;blast_rank=31&amp;RID=5VFXR068013","XM_002842253.1")</f>
        <v>XM_002842253.1</v>
      </c>
    </row>
    <row r="205" spans="1:7" x14ac:dyDescent="0.35">
      <c r="A205" t="s">
        <v>234</v>
      </c>
      <c r="B205">
        <v>137</v>
      </c>
      <c r="C205">
        <v>137</v>
      </c>
      <c r="D205" s="2">
        <v>0.77</v>
      </c>
      <c r="E205" s="3">
        <v>3.0000000000000002E-33</v>
      </c>
      <c r="F205">
        <v>44.5</v>
      </c>
      <c r="G205" t="str">
        <f>HYPERLINK("https://www.ncbi.nlm.nih.gov/nucleotide/XM_003662060.1?report=genbank&amp;log$=nucltop&amp;blast_rank=32&amp;RID=5VFXR068013","XM_003662060.1")</f>
        <v>XM_003662060.1</v>
      </c>
    </row>
    <row r="206" spans="1:7" x14ac:dyDescent="0.35">
      <c r="A206" t="s">
        <v>239</v>
      </c>
      <c r="B206">
        <v>149</v>
      </c>
      <c r="C206">
        <v>149</v>
      </c>
      <c r="D206" s="2">
        <v>0.76</v>
      </c>
      <c r="E206" s="3">
        <v>9.9999999999999994E-37</v>
      </c>
      <c r="F206">
        <v>44.39</v>
      </c>
      <c r="G206" t="str">
        <f>HYPERLINK("https://www.ncbi.nlm.nih.gov/nucleotide/AL451013.1?report=genbank&amp;log$=nucltop&amp;blast_rank=33&amp;RID=5VFXR068013","AL451013.1")</f>
        <v>AL451013.1</v>
      </c>
    </row>
    <row r="207" spans="1:7" x14ac:dyDescent="0.35">
      <c r="A207" s="4" t="s">
        <v>282</v>
      </c>
      <c r="B207" s="4">
        <v>153</v>
      </c>
      <c r="C207" s="4">
        <v>153</v>
      </c>
      <c r="D207" s="5">
        <v>0.79</v>
      </c>
      <c r="E207" s="6">
        <v>2.9999999999999999E-41</v>
      </c>
      <c r="F207" s="4">
        <v>43.84</v>
      </c>
      <c r="G207" s="4" t="str">
        <f>HYPERLINK("https://www.ncbi.nlm.nih.gov/nucleotide/XM_031153619.1?report=genbank&amp;log$=nucltop&amp;blast_rank=34&amp;RID=5VFXR068013","XM_031153619.1")</f>
        <v>XM_031153619.1</v>
      </c>
    </row>
    <row r="208" spans="1:7" x14ac:dyDescent="0.35">
      <c r="A208" t="s">
        <v>245</v>
      </c>
      <c r="B208">
        <v>201</v>
      </c>
      <c r="C208">
        <v>201</v>
      </c>
      <c r="D208" s="2">
        <v>0.95</v>
      </c>
      <c r="E208" s="3">
        <v>9E-61</v>
      </c>
      <c r="F208">
        <v>43.75</v>
      </c>
      <c r="G208" t="str">
        <f>HYPERLINK("https://www.ncbi.nlm.nih.gov/nucleotide/XM_001836371.2?report=genbank&amp;log$=nucltop&amp;blast_rank=35&amp;RID=5VFXR068013","XM_001836371.2")</f>
        <v>XM_001836371.2</v>
      </c>
    </row>
    <row r="209" spans="1:7" x14ac:dyDescent="0.35">
      <c r="A209" t="s">
        <v>232</v>
      </c>
      <c r="B209">
        <v>147</v>
      </c>
      <c r="C209">
        <v>147</v>
      </c>
      <c r="D209" s="2">
        <v>0.77</v>
      </c>
      <c r="E209" s="3">
        <v>9.9999999999999996E-39</v>
      </c>
      <c r="F209">
        <v>43.72</v>
      </c>
      <c r="G209" t="str">
        <f>HYPERLINK("https://www.ncbi.nlm.nih.gov/nucleotide/XM_003352052.1?report=genbank&amp;log$=nucltop&amp;blast_rank=36&amp;RID=5VFXR068013","XM_003352052.1")</f>
        <v>XM_003352052.1</v>
      </c>
    </row>
    <row r="210" spans="1:7" x14ac:dyDescent="0.35">
      <c r="A210" t="s">
        <v>246</v>
      </c>
      <c r="B210">
        <v>146</v>
      </c>
      <c r="C210">
        <v>146</v>
      </c>
      <c r="D210" s="2">
        <v>0.77</v>
      </c>
      <c r="E210" s="3">
        <v>5.0000000000000003E-38</v>
      </c>
      <c r="F210">
        <v>43.72</v>
      </c>
      <c r="G210" t="str">
        <f>HYPERLINK("https://www.ncbi.nlm.nih.gov/nucleotide/XM_009850061.1?report=genbank&amp;log$=nucltop&amp;blast_rank=37&amp;RID=5VFXR068013","XM_009850061.1")</f>
        <v>XM_009850061.1</v>
      </c>
    </row>
    <row r="211" spans="1:7" x14ac:dyDescent="0.35">
      <c r="A211" t="s">
        <v>242</v>
      </c>
      <c r="B211">
        <v>145</v>
      </c>
      <c r="C211">
        <v>145</v>
      </c>
      <c r="D211" s="2">
        <v>0.76</v>
      </c>
      <c r="E211" s="3">
        <v>3.9999999999999998E-38</v>
      </c>
      <c r="F211">
        <v>43.59</v>
      </c>
      <c r="G211" t="str">
        <f>HYPERLINK("https://www.ncbi.nlm.nih.gov/nucleotide/XM_007295640.1?report=genbank&amp;log$=nucltop&amp;blast_rank=38&amp;RID=5VFXR068013","XM_007295640.1")</f>
        <v>XM_007295640.1</v>
      </c>
    </row>
    <row r="212" spans="1:7" x14ac:dyDescent="0.35">
      <c r="A212" t="s">
        <v>254</v>
      </c>
      <c r="B212">
        <v>148</v>
      </c>
      <c r="C212">
        <v>148</v>
      </c>
      <c r="D212" s="2">
        <v>0.78</v>
      </c>
      <c r="E212" s="3">
        <v>9.9999999999999993E-40</v>
      </c>
      <c r="F212">
        <v>43.5</v>
      </c>
      <c r="G212" t="str">
        <f>HYPERLINK("https://www.ncbi.nlm.nih.gov/nucleotide/XM_018276579.1?report=genbank&amp;log$=nucltop&amp;blast_rank=39&amp;RID=5VFXR068013","XM_018276579.1")</f>
        <v>XM_018276579.1</v>
      </c>
    </row>
    <row r="213" spans="1:7" x14ac:dyDescent="0.35">
      <c r="A213" t="s">
        <v>238</v>
      </c>
      <c r="B213">
        <v>139</v>
      </c>
      <c r="C213">
        <v>139</v>
      </c>
      <c r="D213" s="2">
        <v>0.77</v>
      </c>
      <c r="E213" s="3">
        <v>8.0000000000000001E-35</v>
      </c>
      <c r="F213">
        <v>43.43</v>
      </c>
      <c r="G213" t="str">
        <f>HYPERLINK("https://www.ncbi.nlm.nih.gov/nucleotide/XM_018328867.1?report=genbank&amp;log$=nucltop&amp;blast_rank=40&amp;RID=5VFXR068013","XM_018328867.1")</f>
        <v>XM_018328867.1</v>
      </c>
    </row>
    <row r="214" spans="1:7" x14ac:dyDescent="0.35">
      <c r="A214" t="s">
        <v>237</v>
      </c>
      <c r="B214">
        <v>130</v>
      </c>
      <c r="C214">
        <v>130</v>
      </c>
      <c r="D214" s="2">
        <v>0.72</v>
      </c>
      <c r="E214" s="3">
        <v>4.0000000000000003E-30</v>
      </c>
      <c r="F214">
        <v>42.93</v>
      </c>
      <c r="G214" t="str">
        <f>HYPERLINK("https://www.ncbi.nlm.nih.gov/nucleotide/MG777491.1?report=genbank&amp;log$=nucltop&amp;blast_rank=41&amp;RID=5VFXR068013","MG777491.1")</f>
        <v>MG777491.1</v>
      </c>
    </row>
    <row r="215" spans="1:7" x14ac:dyDescent="0.35">
      <c r="A215" t="s">
        <v>279</v>
      </c>
      <c r="B215">
        <v>141</v>
      </c>
      <c r="C215">
        <v>141</v>
      </c>
      <c r="D215" s="2">
        <v>0.76</v>
      </c>
      <c r="E215" s="3">
        <v>9.9999999999999994E-37</v>
      </c>
      <c r="F215">
        <v>42.93</v>
      </c>
      <c r="G215" t="str">
        <f>HYPERLINK("https://www.ncbi.nlm.nih.gov/nucleotide/XM_028635266.1?report=genbank&amp;log$=nucltop&amp;blast_rank=42&amp;RID=5VFXR068013","XM_028635266.1")</f>
        <v>XM_028635266.1</v>
      </c>
    </row>
    <row r="216" spans="1:7" x14ac:dyDescent="0.35">
      <c r="A216" t="s">
        <v>244</v>
      </c>
      <c r="B216">
        <v>140</v>
      </c>
      <c r="C216">
        <v>140</v>
      </c>
      <c r="D216" s="2">
        <v>0.77</v>
      </c>
      <c r="E216" s="3">
        <v>1.9999999999999999E-36</v>
      </c>
      <c r="F216">
        <v>42.93</v>
      </c>
      <c r="G216" t="str">
        <f>HYPERLINK("https://www.ncbi.nlm.nih.gov/nucleotide/XM_008081488.1?report=genbank&amp;log$=nucltop&amp;blast_rank=43&amp;RID=5VFXR068013","XM_008081488.1")</f>
        <v>XM_008081488.1</v>
      </c>
    </row>
    <row r="217" spans="1:7" x14ac:dyDescent="0.35">
      <c r="A217" t="s">
        <v>255</v>
      </c>
      <c r="B217">
        <v>145</v>
      </c>
      <c r="C217">
        <v>145</v>
      </c>
      <c r="D217" s="2">
        <v>0.76</v>
      </c>
      <c r="E217" s="3">
        <v>1.9999999999999999E-36</v>
      </c>
      <c r="F217">
        <v>42.86</v>
      </c>
      <c r="G217" t="str">
        <f>HYPERLINK("https://www.ncbi.nlm.nih.gov/nucleotide/XM_033533880.1?report=genbank&amp;log$=nucltop&amp;blast_rank=44&amp;RID=5VFXR068013","XM_033533880.1")</f>
        <v>XM_033533880.1</v>
      </c>
    </row>
    <row r="218" spans="1:7" x14ac:dyDescent="0.35">
      <c r="A218" t="s">
        <v>236</v>
      </c>
      <c r="B218">
        <v>134</v>
      </c>
      <c r="C218">
        <v>134</v>
      </c>
      <c r="D218" s="2">
        <v>0.81</v>
      </c>
      <c r="E218" s="3">
        <v>2.0000000000000001E-33</v>
      </c>
      <c r="F218">
        <v>42.79</v>
      </c>
      <c r="G218" t="str">
        <f>HYPERLINK("https://www.ncbi.nlm.nih.gov/nucleotide/XM_003649649.1?report=genbank&amp;log$=nucltop&amp;blast_rank=45&amp;RID=5VFXR068013","XM_003649649.1")</f>
        <v>XM_003649649.1</v>
      </c>
    </row>
    <row r="219" spans="1:7" x14ac:dyDescent="0.35">
      <c r="A219" t="s">
        <v>248</v>
      </c>
      <c r="B219">
        <v>136</v>
      </c>
      <c r="C219">
        <v>136</v>
      </c>
      <c r="D219" s="2">
        <v>0.78</v>
      </c>
      <c r="E219" s="3">
        <v>5.0000000000000003E-34</v>
      </c>
      <c r="F219">
        <v>42.79</v>
      </c>
      <c r="G219" t="str">
        <f>HYPERLINK("https://www.ncbi.nlm.nih.gov/nucleotide/XM_007930639.1?report=genbank&amp;log$=nucltop&amp;blast_rank=46&amp;RID=5VFXR068013","XM_007930639.1")</f>
        <v>XM_007930639.1</v>
      </c>
    </row>
    <row r="220" spans="1:7" x14ac:dyDescent="0.35">
      <c r="A220" t="s">
        <v>261</v>
      </c>
      <c r="B220">
        <v>132</v>
      </c>
      <c r="C220">
        <v>132</v>
      </c>
      <c r="D220" s="2">
        <v>0.78</v>
      </c>
      <c r="E220" s="3">
        <v>2.0000000000000001E-33</v>
      </c>
      <c r="F220">
        <v>42.79</v>
      </c>
      <c r="G220" t="str">
        <f>HYPERLINK("https://www.ncbi.nlm.nih.gov/nucleotide/XM_007836483.1?report=genbank&amp;log$=nucltop&amp;blast_rank=47&amp;RID=5VFXR068013","XM_007836483.1")</f>
        <v>XM_007836483.1</v>
      </c>
    </row>
    <row r="221" spans="1:7" x14ac:dyDescent="0.35">
      <c r="A221" t="s">
        <v>943</v>
      </c>
      <c r="B221">
        <v>127</v>
      </c>
      <c r="C221">
        <v>127</v>
      </c>
      <c r="D221" s="2">
        <v>0.74</v>
      </c>
      <c r="E221" s="3">
        <v>2.9999999999999998E-31</v>
      </c>
      <c r="F221">
        <v>42.71</v>
      </c>
      <c r="G221" t="str">
        <f>HYPERLINK("https://www.ncbi.nlm.nih.gov/nucleotide/XM_026759999.1?report=genbank&amp;log$=nucltop&amp;blast_rank=48&amp;RID=5VFXR068013","XM_026759999.1")</f>
        <v>XM_026759999.1</v>
      </c>
    </row>
    <row r="222" spans="1:7" x14ac:dyDescent="0.35">
      <c r="A222" t="s">
        <v>262</v>
      </c>
      <c r="B222">
        <v>134</v>
      </c>
      <c r="C222">
        <v>134</v>
      </c>
      <c r="D222" s="2">
        <v>0.78</v>
      </c>
      <c r="E222" s="3">
        <v>8.0000000000000004E-33</v>
      </c>
      <c r="F222">
        <v>42.5</v>
      </c>
      <c r="G222" t="str">
        <f>HYPERLINK("https://www.ncbi.nlm.nih.gov/nucleotide/XM_024881431.1?report=genbank&amp;log$=nucltop&amp;blast_rank=49&amp;RID=5VFXR068013","XM_024881431.1")</f>
        <v>XM_024881431.1</v>
      </c>
    </row>
    <row r="223" spans="1:7" x14ac:dyDescent="0.35">
      <c r="A223" t="s">
        <v>249</v>
      </c>
      <c r="B223">
        <v>140</v>
      </c>
      <c r="C223">
        <v>140</v>
      </c>
      <c r="D223" s="2">
        <v>0.76</v>
      </c>
      <c r="E223" s="3">
        <v>3.9999999999999998E-36</v>
      </c>
      <c r="F223">
        <v>42.42</v>
      </c>
      <c r="G223" t="str">
        <f>HYPERLINK("https://www.ncbi.nlm.nih.gov/nucleotide/XM_009650293.1?report=genbank&amp;log$=nucltop&amp;blast_rank=50&amp;RID=5VFXR068013","XM_009650293.1")</f>
        <v>XM_009650293.1</v>
      </c>
    </row>
    <row r="224" spans="1:7" x14ac:dyDescent="0.35">
      <c r="A224" t="s">
        <v>250</v>
      </c>
      <c r="B224">
        <v>141</v>
      </c>
      <c r="C224">
        <v>141</v>
      </c>
      <c r="D224" s="2">
        <v>0.76</v>
      </c>
      <c r="E224" s="3">
        <v>6.9999999999999997E-34</v>
      </c>
      <c r="F224">
        <v>42.42</v>
      </c>
      <c r="G224" t="str">
        <f>HYPERLINK("https://www.ncbi.nlm.nih.gov/nucleotide/CP010980.1?report=genbank&amp;log$=nucltop&amp;blast_rank=51&amp;RID=5VFXR068013","CP010980.1")</f>
        <v>CP010980.1</v>
      </c>
    </row>
    <row r="225" spans="1:7" x14ac:dyDescent="0.35">
      <c r="A225" t="s">
        <v>251</v>
      </c>
      <c r="B225">
        <v>141</v>
      </c>
      <c r="C225">
        <v>141</v>
      </c>
      <c r="D225" s="2">
        <v>0.76</v>
      </c>
      <c r="E225" s="3">
        <v>6.9999999999999997E-34</v>
      </c>
      <c r="F225">
        <v>42.42</v>
      </c>
      <c r="G225" t="str">
        <f>HYPERLINK("https://www.ncbi.nlm.nih.gov/nucleotide/CP009075.1?report=genbank&amp;log$=nucltop&amp;blast_rank=52&amp;RID=5VFXR068013","CP009075.1")</f>
        <v>CP009075.1</v>
      </c>
    </row>
    <row r="226" spans="1:7" x14ac:dyDescent="0.35">
      <c r="A226" s="4" t="s">
        <v>256</v>
      </c>
      <c r="B226" s="4">
        <v>134</v>
      </c>
      <c r="C226" s="4">
        <v>134</v>
      </c>
      <c r="D226" s="5">
        <v>0.81</v>
      </c>
      <c r="E226" s="6">
        <v>1.0000000000000001E-31</v>
      </c>
      <c r="F226" s="4">
        <v>42.38</v>
      </c>
      <c r="G226" s="4" t="str">
        <f>HYPERLINK("https://www.ncbi.nlm.nih.gov/nucleotide/XM_031720476.1?report=genbank&amp;log$=nucltop&amp;blast_rank=53&amp;RID=5VFXR068013","XM_031720476.1")</f>
        <v>XM_031720476.1</v>
      </c>
    </row>
    <row r="227" spans="1:7" x14ac:dyDescent="0.35">
      <c r="A227" s="4" t="s">
        <v>739</v>
      </c>
      <c r="B227" s="4">
        <v>128</v>
      </c>
      <c r="C227" s="4">
        <v>128</v>
      </c>
      <c r="D227" s="5">
        <v>0.77</v>
      </c>
      <c r="E227" s="6">
        <v>4.0000000000000003E-30</v>
      </c>
      <c r="F227" s="4">
        <v>42.29</v>
      </c>
      <c r="G227" s="4" t="str">
        <f>HYPERLINK("https://www.ncbi.nlm.nih.gov/nucleotide/XM_024813321.1?report=genbank&amp;log$=nucltop&amp;blast_rank=54&amp;RID=5VFXR068013","XM_024813321.1")</f>
        <v>XM_024813321.1</v>
      </c>
    </row>
    <row r="228" spans="1:7" x14ac:dyDescent="0.35">
      <c r="A228" t="s">
        <v>247</v>
      </c>
      <c r="B228">
        <v>148</v>
      </c>
      <c r="C228">
        <v>148</v>
      </c>
      <c r="D228" s="2">
        <v>0.78</v>
      </c>
      <c r="E228" s="3">
        <v>1.0000000000000001E-37</v>
      </c>
      <c r="F228">
        <v>42</v>
      </c>
      <c r="G228" t="str">
        <f>HYPERLINK("https://www.ncbi.nlm.nih.gov/nucleotide/XM_033744228.1?report=genbank&amp;log$=nucltop&amp;blast_rank=55&amp;RID=5VFXR068013","XM_033744228.1")</f>
        <v>XM_033744228.1</v>
      </c>
    </row>
    <row r="229" spans="1:7" x14ac:dyDescent="0.35">
      <c r="A229" s="4" t="s">
        <v>734</v>
      </c>
      <c r="B229" s="4">
        <v>130</v>
      </c>
      <c r="C229" s="4">
        <v>130</v>
      </c>
      <c r="D229" s="5">
        <v>0.76</v>
      </c>
      <c r="E229" s="6">
        <v>5.9999999999999996E-31</v>
      </c>
      <c r="F229" s="4">
        <v>41.84</v>
      </c>
      <c r="G229" s="4" t="str">
        <f>HYPERLINK("https://www.ncbi.nlm.nih.gov/nucleotide/XM_012358740.1?report=genbank&amp;log$=nucltop&amp;blast_rank=56&amp;RID=5VFXR068013","XM_012358740.1")</f>
        <v>XM_012358740.1</v>
      </c>
    </row>
    <row r="230" spans="1:7" x14ac:dyDescent="0.35">
      <c r="A230" s="4" t="s">
        <v>257</v>
      </c>
      <c r="B230" s="4">
        <v>142</v>
      </c>
      <c r="C230" s="4">
        <v>142</v>
      </c>
      <c r="D230" s="5">
        <v>0.78</v>
      </c>
      <c r="E230" s="6">
        <v>3.0000000000000002E-36</v>
      </c>
      <c r="F230" s="4">
        <v>41.79</v>
      </c>
      <c r="G230" s="4" t="str">
        <f>HYPERLINK("https://www.ncbi.nlm.nih.gov/nucleotide/XM_003851169.1?report=genbank&amp;log$=nucltop&amp;blast_rank=57&amp;RID=5VFXR068013","XM_003851169.1")</f>
        <v>XM_003851169.1</v>
      </c>
    </row>
    <row r="231" spans="1:7" x14ac:dyDescent="0.35">
      <c r="A231" s="4" t="s">
        <v>740</v>
      </c>
      <c r="B231" s="4">
        <v>128</v>
      </c>
      <c r="C231" s="4">
        <v>128</v>
      </c>
      <c r="D231" s="5">
        <v>0.77</v>
      </c>
      <c r="E231" s="6">
        <v>2.9999999999999999E-30</v>
      </c>
      <c r="F231" s="4">
        <v>41.79</v>
      </c>
      <c r="G231" s="4" t="str">
        <f>HYPERLINK("https://www.ncbi.nlm.nih.gov/nucleotide/XM_024835101.1?report=genbank&amp;log$=nucltop&amp;blast_rank=58&amp;RID=5VFXR068013","XM_024835101.1")</f>
        <v>XM_024835101.1</v>
      </c>
    </row>
    <row r="232" spans="1:7" x14ac:dyDescent="0.35">
      <c r="A232" t="s">
        <v>213</v>
      </c>
      <c r="B232">
        <v>143</v>
      </c>
      <c r="C232">
        <v>143</v>
      </c>
      <c r="D232" s="2">
        <v>0.78</v>
      </c>
      <c r="E232" s="3">
        <v>2.0000000000000001E-37</v>
      </c>
      <c r="F232">
        <v>41.58</v>
      </c>
      <c r="G232" t="str">
        <f>HYPERLINK("https://www.ncbi.nlm.nih.gov/nucleotide/XM_037299585.1?report=genbank&amp;log$=nucltop&amp;blast_rank=59&amp;RID=5VFXR068013","XM_037299585.1")</f>
        <v>XM_037299585.1</v>
      </c>
    </row>
    <row r="233" spans="1:7" x14ac:dyDescent="0.35">
      <c r="A233" t="s">
        <v>214</v>
      </c>
      <c r="B233">
        <v>143</v>
      </c>
      <c r="C233">
        <v>143</v>
      </c>
      <c r="D233" s="2">
        <v>0.78</v>
      </c>
      <c r="E233" s="3">
        <v>2.0000000000000001E-37</v>
      </c>
      <c r="F233">
        <v>41.58</v>
      </c>
      <c r="G233" t="str">
        <f>HYPERLINK("https://www.ncbi.nlm.nih.gov/nucleotide/XM_037307991.1?report=genbank&amp;log$=nucltop&amp;blast_rank=60&amp;RID=5VFXR068013","XM_037307991.1")</f>
        <v>XM_037307991.1</v>
      </c>
    </row>
    <row r="234" spans="1:7" x14ac:dyDescent="0.35">
      <c r="A234" t="s">
        <v>265</v>
      </c>
      <c r="B234">
        <v>144</v>
      </c>
      <c r="C234">
        <v>144</v>
      </c>
      <c r="D234" s="2">
        <v>0.78</v>
      </c>
      <c r="E234" s="3">
        <v>6.9999999999999999E-36</v>
      </c>
      <c r="F234">
        <v>41.5</v>
      </c>
      <c r="G234" t="str">
        <f>HYPERLINK("https://www.ncbi.nlm.nih.gov/nucleotide/XM_018215251.1?report=genbank&amp;log$=nucltop&amp;blast_rank=61&amp;RID=5VFXR068013","XM_018215251.1")</f>
        <v>XM_018215251.1</v>
      </c>
    </row>
    <row r="235" spans="1:7" x14ac:dyDescent="0.35">
      <c r="A235" t="s">
        <v>253</v>
      </c>
      <c r="B235">
        <v>138</v>
      </c>
      <c r="C235">
        <v>138</v>
      </c>
      <c r="D235" s="2">
        <v>0.78</v>
      </c>
      <c r="E235" s="3">
        <v>3E-34</v>
      </c>
      <c r="F235">
        <v>41.5</v>
      </c>
      <c r="G235" t="str">
        <f>HYPERLINK("https://www.ncbi.nlm.nih.gov/nucleotide/XM_033719977.1?report=genbank&amp;log$=nucltop&amp;blast_rank=62&amp;RID=5VFXR068013","XM_033719977.1")</f>
        <v>XM_033719977.1</v>
      </c>
    </row>
    <row r="236" spans="1:7" x14ac:dyDescent="0.35">
      <c r="A236" t="s">
        <v>259</v>
      </c>
      <c r="B236">
        <v>137</v>
      </c>
      <c r="C236">
        <v>137</v>
      </c>
      <c r="D236" s="2">
        <v>0.78</v>
      </c>
      <c r="E236" s="3">
        <v>2E-35</v>
      </c>
      <c r="F236">
        <v>41.29</v>
      </c>
      <c r="G236" t="str">
        <f>HYPERLINK("https://www.ncbi.nlm.nih.gov/nucleotide/XM_033805656.1?report=genbank&amp;log$=nucltop&amp;blast_rank=63&amp;RID=5VFXR068013","XM_033805656.1")</f>
        <v>XM_033805656.1</v>
      </c>
    </row>
    <row r="237" spans="1:7" x14ac:dyDescent="0.35">
      <c r="A237" t="s">
        <v>735</v>
      </c>
      <c r="B237">
        <v>127</v>
      </c>
      <c r="C237">
        <v>127</v>
      </c>
      <c r="D237" s="2">
        <v>0.78</v>
      </c>
      <c r="E237" s="3">
        <v>5.0000000000000004E-31</v>
      </c>
      <c r="F237">
        <v>40.799999999999997</v>
      </c>
      <c r="G237" t="str">
        <f>HYPERLINK("https://www.ncbi.nlm.nih.gov/nucleotide/XM_003066843.1?report=genbank&amp;log$=nucltop&amp;blast_rank=64&amp;RID=5VFXR068013","XM_003066843.1")</f>
        <v>XM_003066843.1</v>
      </c>
    </row>
    <row r="238" spans="1:7" x14ac:dyDescent="0.35">
      <c r="A238" t="s">
        <v>147</v>
      </c>
      <c r="B238">
        <v>128</v>
      </c>
      <c r="C238">
        <v>128</v>
      </c>
      <c r="D238" s="2">
        <v>0.77</v>
      </c>
      <c r="E238" s="3">
        <v>2.9999999999999998E-31</v>
      </c>
      <c r="F238">
        <v>40.61</v>
      </c>
      <c r="G238" t="str">
        <f>HYPERLINK("https://www.ncbi.nlm.nih.gov/nucleotide/XM_007741154.1?report=genbank&amp;log$=nucltop&amp;blast_rank=65&amp;RID=5VFXR068013","XM_007741154.1")</f>
        <v>XM_007741154.1</v>
      </c>
    </row>
    <row r="239" spans="1:7" x14ac:dyDescent="0.35">
      <c r="A239" t="s">
        <v>148</v>
      </c>
      <c r="B239">
        <v>128</v>
      </c>
      <c r="C239">
        <v>128</v>
      </c>
      <c r="D239" s="2">
        <v>0.77</v>
      </c>
      <c r="E239" s="3">
        <v>2.9999999999999998E-31</v>
      </c>
      <c r="F239">
        <v>40.61</v>
      </c>
      <c r="G239" t="str">
        <f>HYPERLINK("https://www.ncbi.nlm.nih.gov/nucleotide/XM_016758299.1?report=genbank&amp;log$=nucltop&amp;blast_rank=66&amp;RID=5VFXR068013","XM_016758299.1")</f>
        <v>XM_016758299.1</v>
      </c>
    </row>
    <row r="240" spans="1:7" x14ac:dyDescent="0.35">
      <c r="A240" t="s">
        <v>272</v>
      </c>
      <c r="B240">
        <v>140</v>
      </c>
      <c r="C240">
        <v>140</v>
      </c>
      <c r="D240" s="2">
        <v>0.78</v>
      </c>
      <c r="E240" s="3">
        <v>9.0000000000000005E-36</v>
      </c>
      <c r="F240">
        <v>40.590000000000003</v>
      </c>
      <c r="G240" t="str">
        <f>HYPERLINK("https://www.ncbi.nlm.nih.gov/nucleotide/XM_001911327.1?report=genbank&amp;log$=nucltop&amp;blast_rank=67&amp;RID=5VFXR068013","XM_001911327.1")</f>
        <v>XM_001911327.1</v>
      </c>
    </row>
    <row r="241" spans="1:7" x14ac:dyDescent="0.35">
      <c r="A241" t="s">
        <v>612</v>
      </c>
      <c r="B241">
        <v>126</v>
      </c>
      <c r="C241">
        <v>126</v>
      </c>
      <c r="D241" s="2">
        <v>0.78</v>
      </c>
      <c r="E241" s="3">
        <v>2.0000000000000002E-31</v>
      </c>
      <c r="F241">
        <v>40.590000000000003</v>
      </c>
      <c r="G241" t="str">
        <f>HYPERLINK("https://www.ncbi.nlm.nih.gov/nucleotide/XM_013574460.1?report=genbank&amp;log$=nucltop&amp;blast_rank=68&amp;RID=5VFXR068013","XM_013574460.1")</f>
        <v>XM_013574460.1</v>
      </c>
    </row>
    <row r="242" spans="1:7" x14ac:dyDescent="0.35">
      <c r="A242" t="s">
        <v>218</v>
      </c>
      <c r="B242">
        <v>145</v>
      </c>
      <c r="C242">
        <v>145</v>
      </c>
      <c r="D242" s="2">
        <v>0.78</v>
      </c>
      <c r="E242" s="3">
        <v>1.9999999999999999E-38</v>
      </c>
      <c r="F242">
        <v>40.5</v>
      </c>
      <c r="G242" t="str">
        <f>HYPERLINK("https://www.ncbi.nlm.nih.gov/nucleotide/XM_033831227.1?report=genbank&amp;log$=nucltop&amp;blast_rank=69&amp;RID=5VFXR068013","XM_033831227.1")</f>
        <v>XM_033831227.1</v>
      </c>
    </row>
    <row r="243" spans="1:7" x14ac:dyDescent="0.35">
      <c r="A243" t="s">
        <v>252</v>
      </c>
      <c r="B243">
        <v>137</v>
      </c>
      <c r="C243">
        <v>137</v>
      </c>
      <c r="D243" s="2">
        <v>0.78</v>
      </c>
      <c r="E243" s="3">
        <v>6.9999999999999999E-35</v>
      </c>
      <c r="F243">
        <v>40.5</v>
      </c>
      <c r="G243" t="str">
        <f>HYPERLINK("https://www.ncbi.nlm.nih.gov/nucleotide/XM_018174954.1?report=genbank&amp;log$=nucltop&amp;blast_rank=70&amp;RID=5VFXR068013","XM_018174954.1")</f>
        <v>XM_018174954.1</v>
      </c>
    </row>
    <row r="244" spans="1:7" x14ac:dyDescent="0.35">
      <c r="A244" s="4" t="s">
        <v>260</v>
      </c>
      <c r="B244" s="4">
        <v>133</v>
      </c>
      <c r="C244" s="4">
        <v>133</v>
      </c>
      <c r="D244" s="5">
        <v>0.78</v>
      </c>
      <c r="E244" s="6">
        <v>1.0000000000000001E-33</v>
      </c>
      <c r="F244" s="4">
        <v>40.299999999999997</v>
      </c>
      <c r="G244" s="4" t="str">
        <f>HYPERLINK("https://www.ncbi.nlm.nih.gov/nucleotide/XM_023769316.1?report=genbank&amp;log$=nucltop&amp;blast_rank=71&amp;RID=5VFXR068013","XM_023769316.1")</f>
        <v>XM_023769316.1</v>
      </c>
    </row>
    <row r="245" spans="1:7" x14ac:dyDescent="0.35">
      <c r="A245" s="4" t="s">
        <v>267</v>
      </c>
      <c r="B245" s="4">
        <v>127</v>
      </c>
      <c r="C245" s="4">
        <v>127</v>
      </c>
      <c r="D245" s="5">
        <v>0.77</v>
      </c>
      <c r="E245" s="6">
        <v>2.9999999999999998E-31</v>
      </c>
      <c r="F245" s="4">
        <v>40.299999999999997</v>
      </c>
      <c r="G245" s="4" t="str">
        <f>HYPERLINK("https://www.ncbi.nlm.nih.gov/nucleotide/XM_745463.1?report=genbank&amp;log$=nucltop&amp;blast_rank=72&amp;RID=5VFXR068013","XM_745463.1")</f>
        <v>XM_745463.1</v>
      </c>
    </row>
    <row r="246" spans="1:7" x14ac:dyDescent="0.35">
      <c r="A246" t="s">
        <v>258</v>
      </c>
      <c r="B246">
        <v>137</v>
      </c>
      <c r="C246">
        <v>137</v>
      </c>
      <c r="D246" s="2">
        <v>0.77</v>
      </c>
      <c r="E246" s="3">
        <v>1E-35</v>
      </c>
      <c r="F246">
        <v>40</v>
      </c>
      <c r="G246" t="str">
        <f>HYPERLINK("https://www.ncbi.nlm.nih.gov/nucleotide/XM_019169675.1?report=genbank&amp;log$=nucltop&amp;blast_rank=73&amp;RID=5VFXR068013","XM_019169675.1")</f>
        <v>XM_019169675.1</v>
      </c>
    </row>
    <row r="247" spans="1:7" x14ac:dyDescent="0.35">
      <c r="A247" t="s">
        <v>266</v>
      </c>
      <c r="B247">
        <v>130</v>
      </c>
      <c r="C247">
        <v>130</v>
      </c>
      <c r="D247" s="2">
        <v>0.78</v>
      </c>
      <c r="E247" s="3">
        <v>2.9999999999999998E-31</v>
      </c>
      <c r="F247">
        <v>39.799999999999997</v>
      </c>
      <c r="G247" t="str">
        <f>HYPERLINK("https://www.ncbi.nlm.nih.gov/nucleotide/XM_007683500.1?report=genbank&amp;log$=nucltop&amp;blast_rank=74&amp;RID=5VFXR068013","XM_007683500.1")</f>
        <v>XM_007683500.1</v>
      </c>
    </row>
    <row r="248" spans="1:7" x14ac:dyDescent="0.35">
      <c r="A248" t="s">
        <v>947</v>
      </c>
      <c r="B248">
        <v>125</v>
      </c>
      <c r="C248">
        <v>125</v>
      </c>
      <c r="D248" s="2">
        <v>0.77</v>
      </c>
      <c r="E248" s="3">
        <v>2.0000000000000002E-30</v>
      </c>
      <c r="F248">
        <v>39.799999999999997</v>
      </c>
      <c r="G248" t="str">
        <f>HYPERLINK("https://www.ncbi.nlm.nih.gov/nucleotide/XM_033556261.1?report=genbank&amp;log$=nucltop&amp;blast_rank=75&amp;RID=5VFXR068013","XM_033556261.1")</f>
        <v>XM_033556261.1</v>
      </c>
    </row>
    <row r="249" spans="1:7" x14ac:dyDescent="0.35">
      <c r="A249" t="s">
        <v>263</v>
      </c>
      <c r="B249">
        <v>128</v>
      </c>
      <c r="C249">
        <v>128</v>
      </c>
      <c r="D249" s="2">
        <v>0.78</v>
      </c>
      <c r="E249" s="3">
        <v>2.9999999999999999E-30</v>
      </c>
      <c r="F249">
        <v>39.6</v>
      </c>
      <c r="G249" t="str">
        <f>HYPERLINK("https://www.ncbi.nlm.nih.gov/nucleotide/XM_016906615.1?report=genbank&amp;log$=nucltop&amp;blast_rank=76&amp;RID=5VFXR068013","XM_016906615.1")</f>
        <v>XM_016906615.1</v>
      </c>
    </row>
    <row r="250" spans="1:7" x14ac:dyDescent="0.35">
      <c r="A250" t="s">
        <v>737</v>
      </c>
      <c r="B250">
        <v>124</v>
      </c>
      <c r="C250">
        <v>124</v>
      </c>
      <c r="D250" s="2">
        <v>0.75</v>
      </c>
      <c r="E250" s="3">
        <v>1.0000000000000001E-30</v>
      </c>
      <c r="F250">
        <v>39.590000000000003</v>
      </c>
      <c r="G250" t="str">
        <f>HYPERLINK("https://www.ncbi.nlm.nih.gov/nucleotide/XM_022634861.1?report=genbank&amp;log$=nucltop&amp;blast_rank=77&amp;RID=5VFXR068013","XM_022634861.1")</f>
        <v>XM_022634861.1</v>
      </c>
    </row>
    <row r="251" spans="1:7" x14ac:dyDescent="0.35">
      <c r="A251" t="s">
        <v>825</v>
      </c>
      <c r="B251">
        <v>173</v>
      </c>
      <c r="C251">
        <v>173</v>
      </c>
      <c r="D251" s="2">
        <v>0.96</v>
      </c>
      <c r="E251" s="3">
        <v>1.9999999999999999E-49</v>
      </c>
      <c r="F251">
        <v>39.590000000000003</v>
      </c>
      <c r="G251" t="str">
        <f>HYPERLINK("https://www.ncbi.nlm.nih.gov/nucleotide/XM_011122679.1?report=genbank&amp;log$=nucltop&amp;blast_rank=78&amp;RID=5VFXR068013","XM_011122679.1")</f>
        <v>XM_011122679.1</v>
      </c>
    </row>
    <row r="252" spans="1:7" x14ac:dyDescent="0.35">
      <c r="A252" t="s">
        <v>273</v>
      </c>
      <c r="B252">
        <v>131</v>
      </c>
      <c r="C252">
        <v>131</v>
      </c>
      <c r="D252" s="2">
        <v>0.78</v>
      </c>
      <c r="E252" s="3">
        <v>2.0000000000000001E-32</v>
      </c>
      <c r="F252">
        <v>39.5</v>
      </c>
      <c r="G252" t="str">
        <f>HYPERLINK("https://www.ncbi.nlm.nih.gov/nucleotide/XM_007788590.1?report=genbank&amp;log$=nucltop&amp;blast_rank=79&amp;RID=5VFXR068013","XM_007788590.1")</f>
        <v>XM_007788590.1</v>
      </c>
    </row>
    <row r="253" spans="1:7" x14ac:dyDescent="0.35">
      <c r="A253" t="s">
        <v>211</v>
      </c>
      <c r="B253">
        <v>128</v>
      </c>
      <c r="C253">
        <v>128</v>
      </c>
      <c r="D253" s="2">
        <v>0.78</v>
      </c>
      <c r="E253" s="3">
        <v>6.9999999999999997E-32</v>
      </c>
      <c r="F253">
        <v>39.42</v>
      </c>
      <c r="G253" t="str">
        <f>HYPERLINK("https://www.ncbi.nlm.nih.gov/nucleotide/XM_014093215.1?report=genbank&amp;log$=nucltop&amp;blast_rank=80&amp;RID=5VFXR068013","XM_014093215.1")</f>
        <v>XM_014093215.1</v>
      </c>
    </row>
    <row r="254" spans="1:7" x14ac:dyDescent="0.35">
      <c r="A254" s="4" t="s">
        <v>223</v>
      </c>
      <c r="B254" s="4">
        <v>127</v>
      </c>
      <c r="C254" s="4">
        <v>127</v>
      </c>
      <c r="D254" s="5">
        <v>0.78</v>
      </c>
      <c r="E254" s="6">
        <v>2.9999999999999998E-31</v>
      </c>
      <c r="F254" s="4">
        <v>39.409999999999997</v>
      </c>
      <c r="G254" s="4" t="str">
        <f>HYPERLINK("https://www.ncbi.nlm.nih.gov/nucleotide/XM_018807475.1?report=genbank&amp;log$=nucltop&amp;blast_rank=81&amp;RID=5VFXR068013","XM_018807475.1")</f>
        <v>XM_018807475.1</v>
      </c>
    </row>
    <row r="255" spans="1:7" x14ac:dyDescent="0.35">
      <c r="A255" t="s">
        <v>139</v>
      </c>
      <c r="B255">
        <v>132</v>
      </c>
      <c r="C255">
        <v>132</v>
      </c>
      <c r="D255" s="2">
        <v>0.77</v>
      </c>
      <c r="E255" s="3">
        <v>2.0000000000000002E-31</v>
      </c>
      <c r="F255">
        <v>39.39</v>
      </c>
      <c r="G255" t="str">
        <f>HYPERLINK("https://www.ncbi.nlm.nih.gov/nucleotide/XM_016366306.1?report=genbank&amp;log$=nucltop&amp;blast_rank=82&amp;RID=5VFXR068013","XM_016366306.1")</f>
        <v>XM_016366306.1</v>
      </c>
    </row>
    <row r="256" spans="1:7" x14ac:dyDescent="0.35">
      <c r="A256" s="4" t="s">
        <v>268</v>
      </c>
      <c r="B256" s="4">
        <v>131</v>
      </c>
      <c r="C256" s="4">
        <v>131</v>
      </c>
      <c r="D256" s="5">
        <v>0.76</v>
      </c>
      <c r="E256" s="6">
        <v>8.0000000000000004E-33</v>
      </c>
      <c r="F256" s="4">
        <v>39.200000000000003</v>
      </c>
      <c r="G256" s="4" t="str">
        <f>HYPERLINK("https://www.ncbi.nlm.nih.gov/nucleotide/XM_016742376.1?report=genbank&amp;log$=nucltop&amp;blast_rank=83&amp;RID=5VFXR068013","XM_016742376.1")</f>
        <v>XM_016742376.1</v>
      </c>
    </row>
    <row r="257" spans="1:7" x14ac:dyDescent="0.35">
      <c r="A257" t="s">
        <v>271</v>
      </c>
      <c r="B257">
        <v>130</v>
      </c>
      <c r="C257">
        <v>130</v>
      </c>
      <c r="D257" s="2">
        <v>0.76</v>
      </c>
      <c r="E257" s="3">
        <v>8.9999999999999998E-33</v>
      </c>
      <c r="F257">
        <v>39.200000000000003</v>
      </c>
      <c r="G257" t="str">
        <f>HYPERLINK("https://www.ncbi.nlm.nih.gov/nucleotide/XM_014675514.1?report=genbank&amp;log$=nucltop&amp;blast_rank=84&amp;RID=5VFXR068013","XM_014675514.1")</f>
        <v>XM_014675514.1</v>
      </c>
    </row>
    <row r="258" spans="1:7" x14ac:dyDescent="0.35">
      <c r="A258" t="s">
        <v>226</v>
      </c>
      <c r="B258">
        <v>124</v>
      </c>
      <c r="C258">
        <v>124</v>
      </c>
      <c r="D258" s="2">
        <v>0.77</v>
      </c>
      <c r="E258" s="3">
        <v>5.9999999999999998E-30</v>
      </c>
      <c r="F258">
        <v>39.090000000000003</v>
      </c>
      <c r="G258" t="str">
        <f>HYPERLINK("https://www.ncbi.nlm.nih.gov/nucleotide/XM_022653627.1?report=genbank&amp;log$=nucltop&amp;blast_rank=85&amp;RID=5VFXR068013","XM_022653627.1")</f>
        <v>XM_022653627.1</v>
      </c>
    </row>
    <row r="259" spans="1:7" x14ac:dyDescent="0.35">
      <c r="A259" t="s">
        <v>225</v>
      </c>
      <c r="B259">
        <v>130</v>
      </c>
      <c r="C259">
        <v>130</v>
      </c>
      <c r="D259" s="2">
        <v>0.76</v>
      </c>
      <c r="E259" s="3">
        <v>4.0000000000000002E-32</v>
      </c>
      <c r="F259">
        <v>38.97</v>
      </c>
      <c r="G259" t="str">
        <f>HYPERLINK("https://www.ncbi.nlm.nih.gov/nucleotide/XM_007722025.1?report=genbank&amp;log$=nucltop&amp;blast_rank=86&amp;RID=5VFXR068013","XM_007722025.1")</f>
        <v>XM_007722025.1</v>
      </c>
    </row>
    <row r="260" spans="1:7" x14ac:dyDescent="0.35">
      <c r="A260" t="s">
        <v>276</v>
      </c>
      <c r="B260">
        <v>124</v>
      </c>
      <c r="C260">
        <v>124</v>
      </c>
      <c r="D260" s="2">
        <v>0.78</v>
      </c>
      <c r="E260" s="3">
        <v>2.0000000000000002E-30</v>
      </c>
      <c r="F260">
        <v>38.92</v>
      </c>
      <c r="G260" t="str">
        <f>HYPERLINK("https://www.ncbi.nlm.nih.gov/nucleotide/XM_024466619.1?report=genbank&amp;log$=nucltop&amp;blast_rank=87&amp;RID=5VFXR068013","XM_024466619.1")</f>
        <v>XM_024466619.1</v>
      </c>
    </row>
    <row r="261" spans="1:7" x14ac:dyDescent="0.35">
      <c r="A261" t="s">
        <v>274</v>
      </c>
      <c r="B261">
        <v>136</v>
      </c>
      <c r="C261">
        <v>136</v>
      </c>
      <c r="D261" s="2">
        <v>0.76</v>
      </c>
      <c r="E261" s="3">
        <v>1.9999999999999999E-34</v>
      </c>
      <c r="F261">
        <v>38.78</v>
      </c>
      <c r="G261" t="str">
        <f>HYPERLINK("https://www.ncbi.nlm.nih.gov/nucleotide/XM_008033263.1?report=genbank&amp;log$=nucltop&amp;blast_rank=88&amp;RID=5VFXR068013","XM_008033263.1")</f>
        <v>XM_008033263.1</v>
      </c>
    </row>
    <row r="262" spans="1:7" x14ac:dyDescent="0.35">
      <c r="A262" s="4" t="s">
        <v>838</v>
      </c>
      <c r="B262" s="4">
        <v>136</v>
      </c>
      <c r="C262" s="4">
        <v>136</v>
      </c>
      <c r="D262" s="5">
        <v>0.78</v>
      </c>
      <c r="E262" s="6">
        <v>1.9999999999999999E-34</v>
      </c>
      <c r="F262" s="4">
        <v>38.5</v>
      </c>
      <c r="G262" s="4" t="str">
        <f>HYPERLINK("https://www.ncbi.nlm.nih.gov/nucleotide/XM_038932773.1?report=genbank&amp;log$=nucltop&amp;blast_rank=89&amp;RID=5VFXR068013","XM_038932773.1")</f>
        <v>XM_038932773.1</v>
      </c>
    </row>
    <row r="263" spans="1:7" x14ac:dyDescent="0.35">
      <c r="A263" t="s">
        <v>269</v>
      </c>
      <c r="B263">
        <v>136</v>
      </c>
      <c r="C263">
        <v>136</v>
      </c>
      <c r="D263" s="2">
        <v>0.78</v>
      </c>
      <c r="E263" s="3">
        <v>1.9999999999999999E-34</v>
      </c>
      <c r="F263">
        <v>38.5</v>
      </c>
      <c r="G263" t="str">
        <f>HYPERLINK("https://www.ncbi.nlm.nih.gov/nucleotide/XM_028655763.1?report=genbank&amp;log$=nucltop&amp;blast_rank=90&amp;RID=5VFXR068013","XM_028655763.1")</f>
        <v>XM_028655763.1</v>
      </c>
    </row>
    <row r="264" spans="1:7" x14ac:dyDescent="0.35">
      <c r="A264" t="s">
        <v>270</v>
      </c>
      <c r="B264">
        <v>136</v>
      </c>
      <c r="C264">
        <v>136</v>
      </c>
      <c r="D264" s="2">
        <v>0.78</v>
      </c>
      <c r="E264" s="3">
        <v>1.9999999999999999E-34</v>
      </c>
      <c r="F264">
        <v>38.5</v>
      </c>
      <c r="G264" t="str">
        <f>HYPERLINK("https://www.ncbi.nlm.nih.gov/nucleotide/XM_018534397.1?report=genbank&amp;log$=nucltop&amp;blast_rank=91&amp;RID=5VFXR068013","XM_018534397.1")</f>
        <v>XM_018534397.1</v>
      </c>
    </row>
    <row r="265" spans="1:7" x14ac:dyDescent="0.35">
      <c r="A265" t="s">
        <v>191</v>
      </c>
      <c r="B265">
        <v>125</v>
      </c>
      <c r="C265">
        <v>125</v>
      </c>
      <c r="D265" s="2">
        <v>0.76</v>
      </c>
      <c r="E265" s="3">
        <v>2.9999999999999999E-30</v>
      </c>
      <c r="F265">
        <v>38.46</v>
      </c>
      <c r="G265" t="str">
        <f>HYPERLINK("https://www.ncbi.nlm.nih.gov/nucleotide/XM_016379292.1?report=genbank&amp;log$=nucltop&amp;blast_rank=92&amp;RID=5VFXR068013","XM_016379292.1")</f>
        <v>XM_016379292.1</v>
      </c>
    </row>
    <row r="266" spans="1:7" x14ac:dyDescent="0.35">
      <c r="A266" t="s">
        <v>275</v>
      </c>
      <c r="B266">
        <v>128</v>
      </c>
      <c r="C266">
        <v>128</v>
      </c>
      <c r="D266" s="2">
        <v>0.76</v>
      </c>
      <c r="E266" s="3">
        <v>1.0000000000000001E-31</v>
      </c>
      <c r="F266">
        <v>38.19</v>
      </c>
      <c r="G266" t="str">
        <f>HYPERLINK("https://www.ncbi.nlm.nih.gov/nucleotide/XM_002560097.1?report=genbank&amp;log$=nucltop&amp;blast_rank=93&amp;RID=5VFXR068013","XM_002560097.1")</f>
        <v>XM_002560097.1</v>
      </c>
    </row>
    <row r="267" spans="1:7" x14ac:dyDescent="0.35">
      <c r="A267" t="s">
        <v>264</v>
      </c>
      <c r="B267">
        <v>132</v>
      </c>
      <c r="C267">
        <v>132</v>
      </c>
      <c r="D267" s="2">
        <v>0.76</v>
      </c>
      <c r="E267" s="3">
        <v>5.0000000000000003E-33</v>
      </c>
      <c r="F267">
        <v>37.950000000000003</v>
      </c>
      <c r="G267" t="str">
        <f>HYPERLINK("https://www.ncbi.nlm.nih.gov/nucleotide/XM_009154513.1?report=genbank&amp;log$=nucltop&amp;blast_rank=94&amp;RID=5VFXR068013","XM_009154513.1")</f>
        <v>XM_009154513.1</v>
      </c>
    </row>
    <row r="268" spans="1:7" x14ac:dyDescent="0.35">
      <c r="A268" t="s">
        <v>277</v>
      </c>
      <c r="B268">
        <v>130</v>
      </c>
      <c r="C268">
        <v>130</v>
      </c>
      <c r="D268" s="2">
        <v>0.8</v>
      </c>
      <c r="E268" s="3">
        <v>5.9999999999999996E-31</v>
      </c>
      <c r="F268">
        <v>37.86</v>
      </c>
      <c r="G268" t="str">
        <f>HYPERLINK("https://www.ncbi.nlm.nih.gov/nucleotide/XM_033803268.1?report=genbank&amp;log$=nucltop&amp;blast_rank=95&amp;RID=5VFXR068013","XM_033803268.1")</f>
        <v>XM_033803268.1</v>
      </c>
    </row>
    <row r="269" spans="1:7" x14ac:dyDescent="0.35">
      <c r="A269" t="s">
        <v>216</v>
      </c>
      <c r="B269">
        <v>134</v>
      </c>
      <c r="C269">
        <v>134</v>
      </c>
      <c r="D269" s="2">
        <v>0.94</v>
      </c>
      <c r="E269" s="3">
        <v>6E-34</v>
      </c>
      <c r="F269">
        <v>37.659999999999997</v>
      </c>
      <c r="G269" t="str">
        <f>HYPERLINK("https://www.ncbi.nlm.nih.gov/nucleotide/XM_024034823.1?report=genbank&amp;log$=nucltop&amp;blast_rank=96&amp;RID=5VFXR068013","XM_024034823.1")</f>
        <v>XM_024034823.1</v>
      </c>
    </row>
    <row r="270" spans="1:7" x14ac:dyDescent="0.35">
      <c r="A270" t="s">
        <v>281</v>
      </c>
      <c r="B270">
        <v>131</v>
      </c>
      <c r="C270">
        <v>131</v>
      </c>
      <c r="D270" s="2">
        <v>0.78</v>
      </c>
      <c r="E270" s="3">
        <v>2.0000000000000001E-32</v>
      </c>
      <c r="F270">
        <v>37</v>
      </c>
      <c r="G270" t="str">
        <f>HYPERLINK("https://www.ncbi.nlm.nih.gov/nucleotide/XM_007704195.1?report=genbank&amp;log$=nucltop&amp;blast_rank=97&amp;RID=5VFXR068013","XM_007704195.1")</f>
        <v>XM_007704195.1</v>
      </c>
    </row>
    <row r="271" spans="1:7" x14ac:dyDescent="0.35">
      <c r="A271" t="s">
        <v>278</v>
      </c>
      <c r="B271">
        <v>132</v>
      </c>
      <c r="C271">
        <v>132</v>
      </c>
      <c r="D271" s="2">
        <v>0.79</v>
      </c>
      <c r="E271" s="3">
        <v>4.0000000000000002E-32</v>
      </c>
      <c r="F271">
        <v>36.630000000000003</v>
      </c>
      <c r="G271" t="str">
        <f>HYPERLINK("https://www.ncbi.nlm.nih.gov/nucleotide/XM_001933154.1?report=genbank&amp;log$=nucltop&amp;blast_rank=98&amp;RID=5VFXR068013","XM_001933154.1")</f>
        <v>XM_001933154.1</v>
      </c>
    </row>
    <row r="272" spans="1:7" x14ac:dyDescent="0.35">
      <c r="A272" t="s">
        <v>280</v>
      </c>
      <c r="B272">
        <v>129</v>
      </c>
      <c r="C272">
        <v>129</v>
      </c>
      <c r="D272" s="2">
        <v>0.76</v>
      </c>
      <c r="E272" s="3">
        <v>5.9999999999999996E-31</v>
      </c>
      <c r="F272">
        <v>36.22</v>
      </c>
      <c r="G272" t="str">
        <f>HYPERLINK("https://www.ncbi.nlm.nih.gov/nucleotide/XM_033701610.1?report=genbank&amp;log$=nucltop&amp;blast_rank=99&amp;RID=5VFXR068013","XM_033701610.1")</f>
        <v>XM_033701610.1</v>
      </c>
    </row>
    <row r="273" spans="1:7" x14ac:dyDescent="0.35">
      <c r="A273" s="4" t="s">
        <v>283</v>
      </c>
      <c r="B273" s="4">
        <v>123</v>
      </c>
      <c r="C273" s="4">
        <v>123</v>
      </c>
      <c r="D273" s="5">
        <v>0.79</v>
      </c>
      <c r="E273" s="6">
        <v>4.9999999999999997E-30</v>
      </c>
      <c r="F273" s="4">
        <v>33</v>
      </c>
      <c r="G273" s="4" t="str">
        <f>HYPERLINK("https://www.ncbi.nlm.nih.gov/nucleotide/XM_024808245.1?report=genbank&amp;log$=nucltop&amp;blast_rank=100&amp;RID=5VFXR068013","XM_024808245.1")</f>
        <v>XM_024808245.1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50E99-7F1C-43F5-87DA-D9C5478AE480}">
  <dimension ref="A1:G986"/>
  <sheetViews>
    <sheetView workbookViewId="0">
      <selection activeCell="A17" sqref="A17"/>
    </sheetView>
  </sheetViews>
  <sheetFormatPr defaultRowHeight="14.5" x14ac:dyDescent="0.35"/>
  <cols>
    <col min="1" max="1" width="88.26953125" bestFit="1" customWidth="1"/>
    <col min="2" max="2" width="9.54296875" bestFit="1" customWidth="1"/>
    <col min="3" max="3" width="10.08984375" bestFit="1" customWidth="1"/>
    <col min="4" max="4" width="11.1796875" bestFit="1" customWidth="1"/>
    <col min="5" max="6" width="9" bestFit="1" customWidth="1"/>
    <col min="7" max="7" width="15.1796875" bestFit="1" customWidth="1"/>
  </cols>
  <sheetData>
    <row r="1" spans="1:7" x14ac:dyDescent="0.35">
      <c r="A1" s="1" t="s">
        <v>1277</v>
      </c>
    </row>
    <row r="2" spans="1:7" x14ac:dyDescent="0.35">
      <c r="A2" s="1" t="s">
        <v>1387</v>
      </c>
    </row>
    <row r="3" spans="1:7" x14ac:dyDescent="0.3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 x14ac:dyDescent="0.35">
      <c r="A4" t="s">
        <v>9</v>
      </c>
      <c r="B4">
        <v>312</v>
      </c>
      <c r="C4">
        <v>1158</v>
      </c>
      <c r="D4" s="2">
        <v>1</v>
      </c>
      <c r="E4">
        <v>0</v>
      </c>
      <c r="F4">
        <v>90.74</v>
      </c>
      <c r="G4" t="str">
        <f>HYPERLINK("https://www.ncbi.nlm.nih.gov/nucleotide/LR732079.1?report=genbank&amp;log$=nucltop&amp;blast_rank=1&amp;RID=29VDCE75016","LR732079.1")</f>
        <v>LR732079.1</v>
      </c>
    </row>
    <row r="5" spans="1:7" x14ac:dyDescent="0.35">
      <c r="A5" s="4" t="s">
        <v>10</v>
      </c>
      <c r="B5" s="4">
        <v>180</v>
      </c>
      <c r="C5" s="4">
        <v>180</v>
      </c>
      <c r="D5" s="5">
        <v>0.18</v>
      </c>
      <c r="E5" s="6">
        <v>6.9999999999999999E-50</v>
      </c>
      <c r="F5" s="4">
        <v>69.91</v>
      </c>
      <c r="G5" s="4" t="str">
        <f>HYPERLINK("https://www.ncbi.nlm.nih.gov/nucleotide/AB551954.1?report=genbank&amp;log$=nucltop&amp;blast_rank=2&amp;RID=29VDCE75016","AB551954.1")</f>
        <v>AB551954.1</v>
      </c>
    </row>
    <row r="6" spans="1:7" x14ac:dyDescent="0.35">
      <c r="A6" t="s">
        <v>473</v>
      </c>
      <c r="B6">
        <v>401</v>
      </c>
      <c r="C6">
        <v>1140</v>
      </c>
      <c r="D6" s="2">
        <v>0.97</v>
      </c>
      <c r="E6" s="3">
        <v>7.0000000000000006E-136</v>
      </c>
      <c r="F6">
        <v>61.36</v>
      </c>
      <c r="G6" t="str">
        <f>HYPERLINK("https://www.ncbi.nlm.nih.gov/nucleotide/CP068007.1?report=genbank&amp;log$=nucltop&amp;blast_rank=3&amp;RID=29VDCE75016","CP068007.1")</f>
        <v>CP068007.1</v>
      </c>
    </row>
    <row r="7" spans="1:7" x14ac:dyDescent="0.35">
      <c r="A7" s="4" t="s">
        <v>11</v>
      </c>
      <c r="B7" s="4">
        <v>726</v>
      </c>
      <c r="C7" s="4">
        <v>726</v>
      </c>
      <c r="D7" s="5">
        <v>0.96</v>
      </c>
      <c r="E7" s="4">
        <v>0</v>
      </c>
      <c r="F7" s="4">
        <v>59.37</v>
      </c>
      <c r="G7" s="4" t="str">
        <f>HYPERLINK("https://www.ncbi.nlm.nih.gov/nucleotide/AB551982.1?report=genbank&amp;log$=nucltop&amp;blast_rank=4&amp;RID=29VDCE75016","AB551982.1")</f>
        <v>AB551982.1</v>
      </c>
    </row>
    <row r="8" spans="1:7" x14ac:dyDescent="0.35">
      <c r="A8" t="s">
        <v>12</v>
      </c>
      <c r="B8">
        <v>675</v>
      </c>
      <c r="C8">
        <v>675</v>
      </c>
      <c r="D8" s="2">
        <v>0.9</v>
      </c>
      <c r="E8">
        <v>0</v>
      </c>
      <c r="F8">
        <v>58.98</v>
      </c>
      <c r="G8" t="str">
        <f>HYPERLINK("https://www.ncbi.nlm.nih.gov/nucleotide/XM_036779060.1?report=genbank&amp;log$=nucltop&amp;blast_rank=5&amp;RID=29VDCE75016","XM_036779060.1")</f>
        <v>XM_036779060.1</v>
      </c>
    </row>
    <row r="9" spans="1:7" x14ac:dyDescent="0.35">
      <c r="A9" s="4" t="s">
        <v>13</v>
      </c>
      <c r="B9" s="4">
        <v>680</v>
      </c>
      <c r="C9" s="4">
        <v>680</v>
      </c>
      <c r="D9" s="5">
        <v>0.97</v>
      </c>
      <c r="E9" s="4">
        <v>0</v>
      </c>
      <c r="F9" s="4">
        <v>56.31</v>
      </c>
      <c r="G9" s="4" t="str">
        <f>HYPERLINK("https://www.ncbi.nlm.nih.gov/nucleotide/XM_037359092.1?report=genbank&amp;log$=nucltop&amp;blast_rank=6&amp;RID=29VDCE75016","XM_037359092.1")</f>
        <v>XM_037359092.1</v>
      </c>
    </row>
    <row r="10" spans="1:7" x14ac:dyDescent="0.35">
      <c r="A10" t="s">
        <v>16</v>
      </c>
      <c r="B10">
        <v>387</v>
      </c>
      <c r="C10">
        <v>1069</v>
      </c>
      <c r="D10" s="2">
        <v>0.97</v>
      </c>
      <c r="E10" s="3">
        <v>1E-173</v>
      </c>
      <c r="F10">
        <v>55.43</v>
      </c>
      <c r="G10" t="str">
        <f>HYPERLINK("https://www.ncbi.nlm.nih.gov/nucleotide/CP039877.1?report=genbank&amp;log$=nucltop&amp;blast_rank=7&amp;RID=29VDCE75016","CP039877.1")</f>
        <v>CP039877.1</v>
      </c>
    </row>
    <row r="11" spans="1:7" x14ac:dyDescent="0.35">
      <c r="A11" t="s">
        <v>17</v>
      </c>
      <c r="B11">
        <v>387</v>
      </c>
      <c r="C11">
        <v>1069</v>
      </c>
      <c r="D11" s="2">
        <v>0.97</v>
      </c>
      <c r="E11" s="3">
        <v>1E-173</v>
      </c>
      <c r="F11">
        <v>55.43</v>
      </c>
      <c r="G11" t="str">
        <f>HYPERLINK("https://www.ncbi.nlm.nih.gov/nucleotide/CP015461.1?report=genbank&amp;log$=nucltop&amp;blast_rank=8&amp;RID=29VDCE75016","CP015461.1")</f>
        <v>CP015461.1</v>
      </c>
    </row>
    <row r="12" spans="1:7" x14ac:dyDescent="0.35">
      <c r="A12" t="s">
        <v>18</v>
      </c>
      <c r="B12">
        <v>387</v>
      </c>
      <c r="C12">
        <v>1069</v>
      </c>
      <c r="D12" s="2">
        <v>0.97</v>
      </c>
      <c r="E12" s="3">
        <v>1E-173</v>
      </c>
      <c r="F12">
        <v>55.43</v>
      </c>
      <c r="G12" t="str">
        <f>HYPERLINK("https://www.ncbi.nlm.nih.gov/nucleotide/CP015474.1?report=genbank&amp;log$=nucltop&amp;blast_rank=9&amp;RID=29VDCE75016","CP015474.1")</f>
        <v>CP015474.1</v>
      </c>
    </row>
    <row r="13" spans="1:7" x14ac:dyDescent="0.35">
      <c r="A13" t="s">
        <v>14</v>
      </c>
      <c r="B13">
        <v>684</v>
      </c>
      <c r="C13">
        <v>684</v>
      </c>
      <c r="D13" s="2">
        <v>0.97</v>
      </c>
      <c r="E13">
        <v>0</v>
      </c>
      <c r="F13">
        <v>54.93</v>
      </c>
      <c r="G13" t="str">
        <f>HYPERLINK("https://www.ncbi.nlm.nih.gov/nucleotide/XM_007330301.1?report=genbank&amp;log$=nucltop&amp;blast_rank=10&amp;RID=29VDCE75016","XM_007330301.1")</f>
        <v>XM_007330301.1</v>
      </c>
    </row>
    <row r="14" spans="1:7" x14ac:dyDescent="0.35">
      <c r="A14" t="s">
        <v>15</v>
      </c>
      <c r="B14">
        <v>681</v>
      </c>
      <c r="C14">
        <v>681</v>
      </c>
      <c r="D14" s="2">
        <v>0.97</v>
      </c>
      <c r="E14">
        <v>0</v>
      </c>
      <c r="F14">
        <v>54.93</v>
      </c>
      <c r="G14" t="str">
        <f>HYPERLINK("https://www.ncbi.nlm.nih.gov/nucleotide/XM_006459161.1?report=genbank&amp;log$=nucltop&amp;blast_rank=11&amp;RID=29VDCE75016","XM_006459161.1")</f>
        <v>XM_006459161.1</v>
      </c>
    </row>
    <row r="15" spans="1:7" x14ac:dyDescent="0.35">
      <c r="A15" t="s">
        <v>19</v>
      </c>
      <c r="B15">
        <v>638</v>
      </c>
      <c r="C15">
        <v>638</v>
      </c>
      <c r="D15" s="2">
        <v>0.95</v>
      </c>
      <c r="E15">
        <v>0</v>
      </c>
      <c r="F15">
        <v>52.51</v>
      </c>
      <c r="G15" t="str">
        <f>HYPERLINK("https://www.ncbi.nlm.nih.gov/nucleotide/XM_001880889.1?report=genbank&amp;log$=nucltop&amp;blast_rank=12&amp;RID=29VDCE75016","XM_001880889.1")</f>
        <v>XM_001880889.1</v>
      </c>
    </row>
    <row r="16" spans="1:7" x14ac:dyDescent="0.35">
      <c r="A16" s="4" t="s">
        <v>20</v>
      </c>
      <c r="B16" s="4">
        <v>175</v>
      </c>
      <c r="C16" s="4">
        <v>390</v>
      </c>
      <c r="D16" s="5">
        <v>0.93</v>
      </c>
      <c r="E16" s="6">
        <v>2E-91</v>
      </c>
      <c r="F16" s="4">
        <v>51.92</v>
      </c>
      <c r="G16" s="4" t="str">
        <f>HYPERLINK("https://www.ncbi.nlm.nih.gov/nucleotide/KJ999702.1?report=genbank&amp;log$=nucltop&amp;blast_rank=13&amp;RID=29VDCE75016","KJ999702.1")</f>
        <v>KJ999702.1</v>
      </c>
    </row>
    <row r="17" spans="1:7" x14ac:dyDescent="0.35">
      <c r="A17" t="s">
        <v>21</v>
      </c>
      <c r="B17">
        <v>606</v>
      </c>
      <c r="C17">
        <v>606</v>
      </c>
      <c r="D17" s="2">
        <v>0.96</v>
      </c>
      <c r="E17">
        <v>0</v>
      </c>
      <c r="F17">
        <v>50.57</v>
      </c>
      <c r="G17" t="str">
        <f>HYPERLINK("https://www.ncbi.nlm.nih.gov/nucleotide/XM_009546986.1?report=genbank&amp;log$=nucltop&amp;blast_rank=14&amp;RID=29VDCE75016","XM_009546986.1")</f>
        <v>XM_009546986.1</v>
      </c>
    </row>
    <row r="18" spans="1:7" x14ac:dyDescent="0.35">
      <c r="A18" t="s">
        <v>30</v>
      </c>
      <c r="B18">
        <v>183</v>
      </c>
      <c r="C18">
        <v>419</v>
      </c>
      <c r="D18" s="2">
        <v>0.93</v>
      </c>
      <c r="E18" s="3">
        <v>9.0000000000000006E-79</v>
      </c>
      <c r="F18">
        <v>50</v>
      </c>
      <c r="G18" t="str">
        <f>HYPERLINK("https://www.ncbi.nlm.nih.gov/nucleotide/CP031825.1?report=genbank&amp;log$=nucltop&amp;blast_rank=15&amp;RID=29VDCE75016","CP031825.1")</f>
        <v>CP031825.1</v>
      </c>
    </row>
    <row r="19" spans="1:7" x14ac:dyDescent="0.35">
      <c r="A19" t="s">
        <v>31</v>
      </c>
      <c r="B19">
        <v>183</v>
      </c>
      <c r="C19">
        <v>419</v>
      </c>
      <c r="D19" s="2">
        <v>0.93</v>
      </c>
      <c r="E19" s="3">
        <v>9.0000000000000006E-79</v>
      </c>
      <c r="F19">
        <v>50</v>
      </c>
      <c r="G19" t="str">
        <f>HYPERLINK("https://www.ncbi.nlm.nih.gov/nucleotide/LK023313.1?report=genbank&amp;log$=nucltop&amp;blast_rank=16&amp;RID=29VDCE75016","LK023313.1")</f>
        <v>LK023313.1</v>
      </c>
    </row>
    <row r="20" spans="1:7" x14ac:dyDescent="0.35">
      <c r="A20" t="s">
        <v>22</v>
      </c>
      <c r="B20">
        <v>471</v>
      </c>
      <c r="C20">
        <v>471</v>
      </c>
      <c r="D20" s="2">
        <v>0.88</v>
      </c>
      <c r="E20" s="3">
        <v>9E-157</v>
      </c>
      <c r="F20">
        <v>46.62</v>
      </c>
      <c r="G20" t="str">
        <f>HYPERLINK("https://www.ncbi.nlm.nih.gov/nucleotide/XM_001836369.2?report=genbank&amp;log$=nucltop&amp;blast_rank=17&amp;RID=29VDCE75016","XM_001836369.2")</f>
        <v>XM_001836369.2</v>
      </c>
    </row>
    <row r="21" spans="1:7" x14ac:dyDescent="0.35">
      <c r="A21" t="s">
        <v>23</v>
      </c>
      <c r="B21">
        <v>496</v>
      </c>
      <c r="C21">
        <v>496</v>
      </c>
      <c r="D21" s="2">
        <v>0.96</v>
      </c>
      <c r="E21" s="3">
        <v>4.9999999999999998E-163</v>
      </c>
      <c r="F21">
        <v>45.1</v>
      </c>
      <c r="G21" t="str">
        <f>HYPERLINK("https://www.ncbi.nlm.nih.gov/nucleotide/XM_007300021.1?report=genbank&amp;log$=nucltop&amp;blast_rank=18&amp;RID=29VDCE75016","XM_007300021.1")</f>
        <v>XM_007300021.1</v>
      </c>
    </row>
    <row r="22" spans="1:7" x14ac:dyDescent="0.35">
      <c r="A22" t="s">
        <v>27</v>
      </c>
      <c r="B22">
        <v>176</v>
      </c>
      <c r="C22">
        <v>397</v>
      </c>
      <c r="D22" s="2">
        <v>0.96</v>
      </c>
      <c r="E22" s="3">
        <v>3.0000000000000001E-93</v>
      </c>
      <c r="F22">
        <v>44.1</v>
      </c>
      <c r="G22" t="str">
        <f>HYPERLINK("https://www.ncbi.nlm.nih.gov/nucleotide/CP031830.1?report=genbank&amp;log$=nucltop&amp;blast_rank=19&amp;RID=29VDCE75016","CP031830.1")</f>
        <v>CP031830.1</v>
      </c>
    </row>
    <row r="23" spans="1:7" x14ac:dyDescent="0.35">
      <c r="A23" t="s">
        <v>28</v>
      </c>
      <c r="B23">
        <v>176</v>
      </c>
      <c r="C23">
        <v>397</v>
      </c>
      <c r="D23" s="2">
        <v>0.96</v>
      </c>
      <c r="E23" s="3">
        <v>3.0000000000000001E-93</v>
      </c>
      <c r="F23">
        <v>44.1</v>
      </c>
      <c r="G23" t="str">
        <f>HYPERLINK("https://www.ncbi.nlm.nih.gov/nucleotide/LK023335.1?report=genbank&amp;log$=nucltop&amp;blast_rank=20&amp;RID=29VDCE75016","LK023335.1")</f>
        <v>LK023335.1</v>
      </c>
    </row>
    <row r="24" spans="1:7" x14ac:dyDescent="0.35">
      <c r="A24" t="s">
        <v>24</v>
      </c>
      <c r="B24">
        <v>507</v>
      </c>
      <c r="C24">
        <v>507</v>
      </c>
      <c r="D24" s="2">
        <v>0.95</v>
      </c>
      <c r="E24" s="3">
        <v>2E-169</v>
      </c>
      <c r="F24">
        <v>43.68</v>
      </c>
      <c r="G24" t="str">
        <f>HYPERLINK("https://www.ncbi.nlm.nih.gov/nucleotide/XM_037359093.1?report=genbank&amp;log$=nucltop&amp;blast_rank=21&amp;RID=29VDCE75016","XM_037359093.1")</f>
        <v>XM_037359093.1</v>
      </c>
    </row>
    <row r="25" spans="1:7" x14ac:dyDescent="0.35">
      <c r="A25" t="s">
        <v>29</v>
      </c>
      <c r="B25">
        <v>492</v>
      </c>
      <c r="C25">
        <v>492</v>
      </c>
      <c r="D25" s="2">
        <v>0.95</v>
      </c>
      <c r="E25" s="3">
        <v>9.9999999999999992E-164</v>
      </c>
      <c r="F25">
        <v>43.21</v>
      </c>
      <c r="G25" t="str">
        <f>HYPERLINK("https://www.ncbi.nlm.nih.gov/nucleotide/XM_036779059.1?report=genbank&amp;log$=nucltop&amp;blast_rank=22&amp;RID=29VDCE75016","XM_036779059.1")</f>
        <v>XM_036779059.1</v>
      </c>
    </row>
    <row r="26" spans="1:7" x14ac:dyDescent="0.35">
      <c r="A26" t="s">
        <v>25</v>
      </c>
      <c r="B26">
        <v>504</v>
      </c>
      <c r="C26">
        <v>504</v>
      </c>
      <c r="D26" s="2">
        <v>0.96</v>
      </c>
      <c r="E26" s="3">
        <v>9.0000000000000002E-168</v>
      </c>
      <c r="F26">
        <v>43</v>
      </c>
      <c r="G26" t="str">
        <f>HYPERLINK("https://www.ncbi.nlm.nih.gov/nucleotide/XM_007330400.1?report=genbank&amp;log$=nucltop&amp;blast_rank=23&amp;RID=29VDCE75016","XM_007330400.1")</f>
        <v>XM_007330400.1</v>
      </c>
    </row>
    <row r="27" spans="1:7" x14ac:dyDescent="0.35">
      <c r="A27" t="s">
        <v>26</v>
      </c>
      <c r="B27">
        <v>503</v>
      </c>
      <c r="C27">
        <v>503</v>
      </c>
      <c r="D27" s="2">
        <v>0.96</v>
      </c>
      <c r="E27" s="3">
        <v>2.9999999999999998E-167</v>
      </c>
      <c r="F27">
        <v>42.83</v>
      </c>
      <c r="G27" t="str">
        <f>HYPERLINK("https://www.ncbi.nlm.nih.gov/nucleotide/XM_006459162.1?report=genbank&amp;log$=nucltop&amp;blast_rank=24&amp;RID=29VDCE75016","XM_006459162.1")</f>
        <v>XM_006459162.1</v>
      </c>
    </row>
    <row r="28" spans="1:7" x14ac:dyDescent="0.35">
      <c r="A28" t="s">
        <v>21</v>
      </c>
      <c r="B28">
        <v>475</v>
      </c>
      <c r="C28">
        <v>475</v>
      </c>
      <c r="D28" s="2">
        <v>0.95</v>
      </c>
      <c r="E28" s="3">
        <v>5.0000000000000001E-156</v>
      </c>
      <c r="F28">
        <v>41.51</v>
      </c>
      <c r="G28" t="str">
        <f>HYPERLINK("https://www.ncbi.nlm.nih.gov/nucleotide/XM_009546985.1?report=genbank&amp;log$=nucltop&amp;blast_rank=25&amp;RID=29VDCE75016","XM_009546985.1")</f>
        <v>XM_009546985.1</v>
      </c>
    </row>
    <row r="29" spans="1:7" x14ac:dyDescent="0.35">
      <c r="A29" t="s">
        <v>32</v>
      </c>
      <c r="B29">
        <v>459</v>
      </c>
      <c r="C29">
        <v>459</v>
      </c>
      <c r="D29" s="2">
        <v>0.97</v>
      </c>
      <c r="E29" s="3">
        <v>6E-148</v>
      </c>
      <c r="F29">
        <v>41.21</v>
      </c>
      <c r="G29" t="str">
        <f>HYPERLINK("https://www.ncbi.nlm.nih.gov/nucleotide/XM_018429091.1?report=genbank&amp;log$=nucltop&amp;blast_rank=26&amp;RID=29VDCE75016","XM_018429091.1")</f>
        <v>XM_018429091.1</v>
      </c>
    </row>
    <row r="30" spans="1:7" x14ac:dyDescent="0.35">
      <c r="A30" t="s">
        <v>19</v>
      </c>
      <c r="B30">
        <v>477</v>
      </c>
      <c r="C30">
        <v>477</v>
      </c>
      <c r="D30" s="2">
        <v>0.95</v>
      </c>
      <c r="E30" s="3">
        <v>4.9999999999999997E-158</v>
      </c>
      <c r="F30">
        <v>40.590000000000003</v>
      </c>
      <c r="G30" t="str">
        <f>HYPERLINK("https://www.ncbi.nlm.nih.gov/nucleotide/XM_001880890.1?report=genbank&amp;log$=nucltop&amp;blast_rank=27&amp;RID=29VDCE75016","XM_001880890.1")</f>
        <v>XM_001880890.1</v>
      </c>
    </row>
    <row r="31" spans="1:7" x14ac:dyDescent="0.35">
      <c r="A31" t="s">
        <v>34</v>
      </c>
      <c r="B31">
        <v>433</v>
      </c>
      <c r="C31">
        <v>433</v>
      </c>
      <c r="D31" s="2">
        <v>0.95</v>
      </c>
      <c r="E31" s="3">
        <v>9.9999999999999998E-141</v>
      </c>
      <c r="F31">
        <v>39.64</v>
      </c>
      <c r="G31" t="str">
        <f>HYPERLINK("https://www.ncbi.nlm.nih.gov/nucleotide/XM_001836368.2?report=genbank&amp;log$=nucltop&amp;blast_rank=28&amp;RID=29VDCE75016","XM_001836368.2")</f>
        <v>XM_001836368.2</v>
      </c>
    </row>
    <row r="32" spans="1:7" x14ac:dyDescent="0.35">
      <c r="A32" t="s">
        <v>35</v>
      </c>
      <c r="B32">
        <v>445</v>
      </c>
      <c r="C32">
        <v>445</v>
      </c>
      <c r="D32" s="2">
        <v>0.96</v>
      </c>
      <c r="E32" s="3">
        <v>2.9999999999999999E-145</v>
      </c>
      <c r="F32">
        <v>39.17</v>
      </c>
      <c r="G32" t="str">
        <f>HYPERLINK("https://www.ncbi.nlm.nih.gov/nucleotide/XM_023610462.1?report=genbank&amp;log$=nucltop&amp;blast_rank=29&amp;RID=29VDCE75016","XM_023610462.1")</f>
        <v>XM_023610462.1</v>
      </c>
    </row>
    <row r="33" spans="1:7" x14ac:dyDescent="0.35">
      <c r="A33" t="s">
        <v>33</v>
      </c>
      <c r="B33">
        <v>446</v>
      </c>
      <c r="C33">
        <v>446</v>
      </c>
      <c r="D33" s="2">
        <v>0.96</v>
      </c>
      <c r="E33" s="3">
        <v>6.9999999999999999E-145</v>
      </c>
      <c r="F33">
        <v>39.14</v>
      </c>
      <c r="G33" t="str">
        <f>HYPERLINK("https://www.ncbi.nlm.nih.gov/nucleotide/XM_007300020.1?report=genbank&amp;log$=nucltop&amp;blast_rank=30&amp;RID=29VDCE75016","XM_007300020.1")</f>
        <v>XM_007300020.1</v>
      </c>
    </row>
    <row r="34" spans="1:7" x14ac:dyDescent="0.35">
      <c r="A34" t="s">
        <v>37</v>
      </c>
      <c r="B34">
        <v>312</v>
      </c>
      <c r="C34">
        <v>312</v>
      </c>
      <c r="D34" s="2">
        <v>0.92</v>
      </c>
      <c r="E34" s="3">
        <v>3.9999999999999997E-88</v>
      </c>
      <c r="F34">
        <v>36.19</v>
      </c>
      <c r="G34" t="str">
        <f>HYPERLINK("https://www.ncbi.nlm.nih.gov/nucleotide/LR732085.1?report=genbank&amp;log$=nucltop&amp;blast_rank=31&amp;RID=29VDCE75016","LR732085.1")</f>
        <v>LR732085.1</v>
      </c>
    </row>
    <row r="35" spans="1:7" x14ac:dyDescent="0.35">
      <c r="A35" t="s">
        <v>36</v>
      </c>
      <c r="B35">
        <v>107</v>
      </c>
      <c r="C35">
        <v>186</v>
      </c>
      <c r="D35" s="2">
        <v>0.67</v>
      </c>
      <c r="E35" s="3">
        <v>9.9999999999999994E-37</v>
      </c>
      <c r="F35">
        <v>36.159999999999997</v>
      </c>
      <c r="G35" t="str">
        <f>HYPERLINK("https://www.ncbi.nlm.nih.gov/nucleotide/AM270105.1?report=genbank&amp;log$=nucltop&amp;blast_rank=32&amp;RID=29VDCE75016","AM270105.1")</f>
        <v>AM270105.1</v>
      </c>
    </row>
    <row r="36" spans="1:7" x14ac:dyDescent="0.35">
      <c r="A36" t="s">
        <v>38</v>
      </c>
      <c r="B36">
        <v>171</v>
      </c>
      <c r="C36">
        <v>171</v>
      </c>
      <c r="D36" s="2">
        <v>0.48</v>
      </c>
      <c r="E36" s="3">
        <v>2.0000000000000002E-43</v>
      </c>
      <c r="F36">
        <v>35.03</v>
      </c>
      <c r="G36" t="str">
        <f>HYPERLINK("https://www.ncbi.nlm.nih.gov/nucleotide/XM_001221435.1?report=genbank&amp;log$=nucltop&amp;blast_rank=33&amp;RID=29VDCE75016","XM_001221435.1")</f>
        <v>XM_001221435.1</v>
      </c>
    </row>
    <row r="37" spans="1:7" x14ac:dyDescent="0.35">
      <c r="A37" t="s">
        <v>39</v>
      </c>
      <c r="B37">
        <v>353</v>
      </c>
      <c r="C37">
        <v>353</v>
      </c>
      <c r="D37" s="2">
        <v>0.95</v>
      </c>
      <c r="E37" s="3">
        <v>4E-109</v>
      </c>
      <c r="F37">
        <v>34.520000000000003</v>
      </c>
      <c r="G37" t="str">
        <f>HYPERLINK("https://www.ncbi.nlm.nih.gov/nucleotide/XM_025316703.1?report=genbank&amp;log$=nucltop&amp;blast_rank=34&amp;RID=29VDCE75016","XM_025316703.1")</f>
        <v>XM_025316703.1</v>
      </c>
    </row>
    <row r="38" spans="1:7" x14ac:dyDescent="0.35">
      <c r="A38" t="s">
        <v>774</v>
      </c>
      <c r="B38">
        <v>103</v>
      </c>
      <c r="C38">
        <v>179</v>
      </c>
      <c r="D38" s="2">
        <v>0.67</v>
      </c>
      <c r="E38" s="3">
        <v>9.9999999999999993E-35</v>
      </c>
      <c r="F38">
        <v>34.29</v>
      </c>
      <c r="G38" t="str">
        <f>HYPERLINK("https://www.ncbi.nlm.nih.gov/nucleotide/AP024441.1?report=genbank&amp;log$=nucltop&amp;blast_rank=35&amp;RID=29VDCE75016","AP024441.1")</f>
        <v>AP024441.1</v>
      </c>
    </row>
    <row r="39" spans="1:7" x14ac:dyDescent="0.35">
      <c r="A39" t="s">
        <v>775</v>
      </c>
      <c r="B39">
        <v>103</v>
      </c>
      <c r="C39">
        <v>179</v>
      </c>
      <c r="D39" s="2">
        <v>0.67</v>
      </c>
      <c r="E39" s="3">
        <v>9.9999999999999993E-35</v>
      </c>
      <c r="F39">
        <v>34.29</v>
      </c>
      <c r="G39" t="str">
        <f>HYPERLINK("https://www.ncbi.nlm.nih.gov/nucleotide/AP024432.1?report=genbank&amp;log$=nucltop&amp;blast_rank=36&amp;RID=29VDCE75016","AP024432.1")</f>
        <v>AP024432.1</v>
      </c>
    </row>
    <row r="40" spans="1:7" x14ac:dyDescent="0.35">
      <c r="A40" t="s">
        <v>40</v>
      </c>
      <c r="B40">
        <v>194</v>
      </c>
      <c r="C40">
        <v>194</v>
      </c>
      <c r="D40" s="2">
        <v>0.66</v>
      </c>
      <c r="E40" s="3">
        <v>4E-50</v>
      </c>
      <c r="F40">
        <v>33.18</v>
      </c>
      <c r="G40" t="str">
        <f>HYPERLINK("https://www.ncbi.nlm.nih.gov/nucleotide/XM_022531473.1?report=genbank&amp;log$=nucltop&amp;blast_rank=37&amp;RID=29VDCE75016","XM_022531473.1")</f>
        <v>XM_022531473.1</v>
      </c>
    </row>
    <row r="41" spans="1:7" x14ac:dyDescent="0.35">
      <c r="A41" t="s">
        <v>491</v>
      </c>
      <c r="B41">
        <v>187</v>
      </c>
      <c r="C41">
        <v>187</v>
      </c>
      <c r="D41" s="2">
        <v>0.66</v>
      </c>
      <c r="E41" s="3">
        <v>9.9999999999999997E-48</v>
      </c>
      <c r="F41">
        <v>32.950000000000003</v>
      </c>
      <c r="G41" t="str">
        <f>HYPERLINK("https://www.ncbi.nlm.nih.gov/nucleotide/XM_039068458.1?report=genbank&amp;log$=nucltop&amp;blast_rank=38&amp;RID=29VDCE75016","XM_039068458.1")</f>
        <v>XM_039068458.1</v>
      </c>
    </row>
    <row r="42" spans="1:7" x14ac:dyDescent="0.35">
      <c r="A42" t="s">
        <v>45</v>
      </c>
      <c r="B42">
        <v>195</v>
      </c>
      <c r="C42">
        <v>195</v>
      </c>
      <c r="D42" s="2">
        <v>0.69</v>
      </c>
      <c r="E42" s="3">
        <v>1E-50</v>
      </c>
      <c r="F42">
        <v>32.81</v>
      </c>
      <c r="G42" t="str">
        <f>HYPERLINK("https://www.ncbi.nlm.nih.gov/nucleotide/XM_007926421.1?report=genbank&amp;log$=nucltop&amp;blast_rank=39&amp;RID=29VDCE75016","XM_007926421.1")</f>
        <v>XM_007926421.1</v>
      </c>
    </row>
    <row r="43" spans="1:7" x14ac:dyDescent="0.35">
      <c r="A43" t="s">
        <v>48</v>
      </c>
      <c r="B43">
        <v>187</v>
      </c>
      <c r="C43">
        <v>187</v>
      </c>
      <c r="D43" s="2">
        <v>0.68</v>
      </c>
      <c r="E43" s="3">
        <v>1E-46</v>
      </c>
      <c r="F43">
        <v>32.479999999999997</v>
      </c>
      <c r="G43" t="str">
        <f>HYPERLINK("https://www.ncbi.nlm.nih.gov/nucleotide/XM_009499650.1?report=genbank&amp;log$=nucltop&amp;blast_rank=40&amp;RID=29VDCE75016","XM_009499650.1")</f>
        <v>XM_009499650.1</v>
      </c>
    </row>
    <row r="44" spans="1:7" x14ac:dyDescent="0.35">
      <c r="A44" t="s">
        <v>56</v>
      </c>
      <c r="B44">
        <v>172</v>
      </c>
      <c r="C44">
        <v>172</v>
      </c>
      <c r="D44" s="2">
        <v>0.66</v>
      </c>
      <c r="E44" s="3">
        <v>5.0000000000000002E-43</v>
      </c>
      <c r="F44">
        <v>32.33</v>
      </c>
      <c r="G44" t="str">
        <f>HYPERLINK("https://www.ncbi.nlm.nih.gov/nucleotide/XM_024844676.1?report=genbank&amp;log$=nucltop&amp;blast_rank=41&amp;RID=29VDCE75016","XM_024844676.1")</f>
        <v>XM_024844676.1</v>
      </c>
    </row>
    <row r="45" spans="1:7" x14ac:dyDescent="0.35">
      <c r="A45" t="s">
        <v>42</v>
      </c>
      <c r="B45">
        <v>189</v>
      </c>
      <c r="C45">
        <v>189</v>
      </c>
      <c r="D45" s="2">
        <v>0.66</v>
      </c>
      <c r="E45" s="3">
        <v>1.9999999999999999E-48</v>
      </c>
      <c r="F45">
        <v>32.19</v>
      </c>
      <c r="G45" t="str">
        <f>HYPERLINK("https://www.ncbi.nlm.nih.gov/nucleotide/XM_015554209.1?report=genbank&amp;log$=nucltop&amp;blast_rank=42&amp;RID=29VDCE75016","XM_015554209.1")</f>
        <v>XM_015554209.1</v>
      </c>
    </row>
    <row r="46" spans="1:7" x14ac:dyDescent="0.35">
      <c r="A46" t="s">
        <v>44</v>
      </c>
      <c r="B46">
        <v>175</v>
      </c>
      <c r="C46">
        <v>175</v>
      </c>
      <c r="D46" s="2">
        <v>0.61</v>
      </c>
      <c r="E46" s="3">
        <v>3.0000000000000002E-44</v>
      </c>
      <c r="F46">
        <v>32.08</v>
      </c>
      <c r="G46" t="str">
        <f>HYPERLINK("https://www.ncbi.nlm.nih.gov/nucleotide/XM_033572072.1?report=genbank&amp;log$=nucltop&amp;blast_rank=43&amp;RID=29VDCE75016","XM_033572072.1")</f>
        <v>XM_033572072.1</v>
      </c>
    </row>
    <row r="47" spans="1:7" x14ac:dyDescent="0.35">
      <c r="A47" t="s">
        <v>49</v>
      </c>
      <c r="B47">
        <v>157</v>
      </c>
      <c r="C47">
        <v>157</v>
      </c>
      <c r="D47" s="2">
        <v>0.6</v>
      </c>
      <c r="E47" s="3">
        <v>4.9999999999999997E-37</v>
      </c>
      <c r="F47">
        <v>32.049999999999997</v>
      </c>
      <c r="G47" t="str">
        <f>HYPERLINK("https://www.ncbi.nlm.nih.gov/nucleotide/XM_001217916.1?report=genbank&amp;log$=nucltop&amp;blast_rank=44&amp;RID=29VDCE75016","XM_001217916.1")</f>
        <v>XM_001217916.1</v>
      </c>
    </row>
    <row r="48" spans="1:7" x14ac:dyDescent="0.35">
      <c r="A48" t="s">
        <v>52</v>
      </c>
      <c r="B48">
        <v>134</v>
      </c>
      <c r="C48">
        <v>134</v>
      </c>
      <c r="D48" s="2">
        <v>0.53</v>
      </c>
      <c r="E48" s="3">
        <v>8.0000000000000007E-31</v>
      </c>
      <c r="F48">
        <v>32.049999999999997</v>
      </c>
      <c r="G48" t="str">
        <f>HYPERLINK("https://www.ncbi.nlm.nih.gov/nucleotide/XM_003857413.1?report=genbank&amp;log$=nucltop&amp;blast_rank=45&amp;RID=29VDCE75016","XM_003857413.1")</f>
        <v>XM_003857413.1</v>
      </c>
    </row>
    <row r="49" spans="1:7" x14ac:dyDescent="0.35">
      <c r="A49" s="4" t="s">
        <v>50</v>
      </c>
      <c r="B49" s="4">
        <v>197</v>
      </c>
      <c r="C49" s="4">
        <v>197</v>
      </c>
      <c r="D49" s="5">
        <v>0.66</v>
      </c>
      <c r="E49" s="6">
        <v>3E-51</v>
      </c>
      <c r="F49" s="4">
        <v>32.049999999999997</v>
      </c>
      <c r="G49" s="4" t="str">
        <f>HYPERLINK("https://www.ncbi.nlm.nih.gov/nucleotide/XM_032058508.1?report=genbank&amp;log$=nucltop&amp;blast_rank=46&amp;RID=29VDCE75016","XM_032058508.1")</f>
        <v>XM_032058508.1</v>
      </c>
    </row>
    <row r="50" spans="1:7" x14ac:dyDescent="0.35">
      <c r="A50" s="4" t="s">
        <v>47</v>
      </c>
      <c r="B50" s="4">
        <v>186</v>
      </c>
      <c r="C50" s="4">
        <v>186</v>
      </c>
      <c r="D50" s="5">
        <v>0.66</v>
      </c>
      <c r="E50" s="6">
        <v>3.0000000000000002E-47</v>
      </c>
      <c r="F50" s="4">
        <v>31.74</v>
      </c>
      <c r="G50" s="4" t="str">
        <f>HYPERLINK("https://www.ncbi.nlm.nih.gov/nucleotide/XM_032089869.1?report=genbank&amp;log$=nucltop&amp;blast_rank=47&amp;RID=29VDCE75016","XM_032089869.1")</f>
        <v>XM_032089869.1</v>
      </c>
    </row>
    <row r="51" spans="1:7" x14ac:dyDescent="0.35">
      <c r="A51" s="4" t="s">
        <v>55</v>
      </c>
      <c r="B51" s="4">
        <v>181</v>
      </c>
      <c r="C51" s="4">
        <v>181</v>
      </c>
      <c r="D51" s="5">
        <v>0.66</v>
      </c>
      <c r="E51" s="6">
        <v>2E-45</v>
      </c>
      <c r="F51" s="4">
        <v>31.58</v>
      </c>
      <c r="G51" s="4" t="str">
        <f>HYPERLINK("https://www.ncbi.nlm.nih.gov/nucleotide/XM_032074407.1?report=genbank&amp;log$=nucltop&amp;blast_rank=48&amp;RID=29VDCE75016","XM_032074407.1")</f>
        <v>XM_032074407.1</v>
      </c>
    </row>
    <row r="52" spans="1:7" x14ac:dyDescent="0.35">
      <c r="A52" t="s">
        <v>54</v>
      </c>
      <c r="B52">
        <v>137</v>
      </c>
      <c r="C52">
        <v>165</v>
      </c>
      <c r="D52" s="2">
        <v>0.63</v>
      </c>
      <c r="E52" s="3">
        <v>2.0000000000000002E-30</v>
      </c>
      <c r="F52">
        <v>31.38</v>
      </c>
      <c r="G52" t="str">
        <f>HYPERLINK("https://www.ncbi.nlm.nih.gov/nucleotide/LT853692.1?report=genbank&amp;log$=nucltop&amp;blast_rank=49&amp;RID=29VDCE75016","LT853692.1")</f>
        <v>LT853692.1</v>
      </c>
    </row>
    <row r="53" spans="1:7" x14ac:dyDescent="0.35">
      <c r="A53" t="s">
        <v>57</v>
      </c>
      <c r="B53">
        <v>136</v>
      </c>
      <c r="C53">
        <v>166</v>
      </c>
      <c r="D53" s="2">
        <v>0.64</v>
      </c>
      <c r="E53" s="3">
        <v>1.0000000000000001E-30</v>
      </c>
      <c r="F53">
        <v>31.12</v>
      </c>
      <c r="G53" t="str">
        <f>HYPERLINK("https://www.ncbi.nlm.nih.gov/nucleotide/LT854253.1?report=genbank&amp;log$=nucltop&amp;blast_rank=50&amp;RID=29VDCE75016","LT854253.1")</f>
        <v>LT854253.1</v>
      </c>
    </row>
    <row r="54" spans="1:7" x14ac:dyDescent="0.35">
      <c r="A54" t="s">
        <v>58</v>
      </c>
      <c r="B54">
        <v>136</v>
      </c>
      <c r="C54">
        <v>165</v>
      </c>
      <c r="D54" s="2">
        <v>0.64</v>
      </c>
      <c r="E54" s="3">
        <v>1.0000000000000001E-30</v>
      </c>
      <c r="F54">
        <v>31.12</v>
      </c>
      <c r="G54" t="str">
        <f>HYPERLINK("https://www.ncbi.nlm.nih.gov/nucleotide/LT854273.1?report=genbank&amp;log$=nucltop&amp;blast_rank=51&amp;RID=29VDCE75016","LT854273.1")</f>
        <v>LT854273.1</v>
      </c>
    </row>
    <row r="55" spans="1:7" x14ac:dyDescent="0.35">
      <c r="A55" t="s">
        <v>59</v>
      </c>
      <c r="B55">
        <v>136</v>
      </c>
      <c r="C55">
        <v>165</v>
      </c>
      <c r="D55" s="2">
        <v>0.64</v>
      </c>
      <c r="E55" s="3">
        <v>1.0000000000000001E-30</v>
      </c>
      <c r="F55">
        <v>31.12</v>
      </c>
      <c r="G55" t="str">
        <f>HYPERLINK("https://www.ncbi.nlm.nih.gov/nucleotide/LT882676.1?report=genbank&amp;log$=nucltop&amp;blast_rank=52&amp;RID=29VDCE75016","LT882676.1")</f>
        <v>LT882676.1</v>
      </c>
    </row>
    <row r="56" spans="1:7" x14ac:dyDescent="0.35">
      <c r="A56" t="s">
        <v>43</v>
      </c>
      <c r="B56">
        <v>173</v>
      </c>
      <c r="C56">
        <v>173</v>
      </c>
      <c r="D56" s="2">
        <v>0.72</v>
      </c>
      <c r="E56" s="3">
        <v>1E-42</v>
      </c>
      <c r="F56">
        <v>30.92</v>
      </c>
      <c r="G56" t="str">
        <f>HYPERLINK("https://www.ncbi.nlm.nih.gov/nucleotide/XM_022549209.1?report=genbank&amp;log$=nucltop&amp;blast_rank=53&amp;RID=29VDCE75016","XM_022549209.1")</f>
        <v>XM_022549209.1</v>
      </c>
    </row>
    <row r="57" spans="1:7" x14ac:dyDescent="0.35">
      <c r="A57" s="4" t="s">
        <v>41</v>
      </c>
      <c r="B57" s="4">
        <v>173</v>
      </c>
      <c r="C57" s="4">
        <v>173</v>
      </c>
      <c r="D57" s="5">
        <v>0.66</v>
      </c>
      <c r="E57" s="6">
        <v>1E-42</v>
      </c>
      <c r="F57" s="4">
        <v>30.82</v>
      </c>
      <c r="G57" s="4" t="str">
        <f>HYPERLINK("https://www.ncbi.nlm.nih.gov/nucleotide/XM_032045412.1?report=genbank&amp;log$=nucltop&amp;blast_rank=54&amp;RID=29VDCE75016","XM_032045412.1")</f>
        <v>XM_032045412.1</v>
      </c>
    </row>
    <row r="58" spans="1:7" x14ac:dyDescent="0.35">
      <c r="A58" t="s">
        <v>60</v>
      </c>
      <c r="B58">
        <v>172</v>
      </c>
      <c r="C58">
        <v>172</v>
      </c>
      <c r="D58" s="2">
        <v>0.66</v>
      </c>
      <c r="E58" s="3">
        <v>3.0000000000000003E-42</v>
      </c>
      <c r="F58">
        <v>30.72</v>
      </c>
      <c r="G58" t="str">
        <f>HYPERLINK("https://www.ncbi.nlm.nih.gov/nucleotide/XM_035498527.1?report=genbank&amp;log$=nucltop&amp;blast_rank=55&amp;RID=29VDCE75016","XM_035498527.1")</f>
        <v>XM_035498527.1</v>
      </c>
    </row>
    <row r="59" spans="1:7" x14ac:dyDescent="0.35">
      <c r="A59" t="s">
        <v>51</v>
      </c>
      <c r="B59">
        <v>187</v>
      </c>
      <c r="C59">
        <v>187</v>
      </c>
      <c r="D59" s="2">
        <v>0.85</v>
      </c>
      <c r="E59" s="3">
        <v>9.9999999999999997E-48</v>
      </c>
      <c r="F59">
        <v>30.62</v>
      </c>
      <c r="G59" t="str">
        <f>HYPERLINK("https://www.ncbi.nlm.nih.gov/nucleotide/XM_025528552.1?report=genbank&amp;log$=nucltop&amp;blast_rank=56&amp;RID=29VDCE75016","XM_025528552.1")</f>
        <v>XM_025528552.1</v>
      </c>
    </row>
    <row r="60" spans="1:7" x14ac:dyDescent="0.35">
      <c r="A60" t="s">
        <v>795</v>
      </c>
      <c r="B60">
        <v>169</v>
      </c>
      <c r="C60">
        <v>169</v>
      </c>
      <c r="D60" s="2">
        <v>0.65</v>
      </c>
      <c r="E60" s="3">
        <v>6.0000000000000004E-40</v>
      </c>
      <c r="F60">
        <v>30.5</v>
      </c>
      <c r="G60" t="str">
        <f>HYPERLINK("https://www.ncbi.nlm.nih.gov/nucleotide/AP024418.1?report=genbank&amp;log$=nucltop&amp;blast_rank=57&amp;RID=29VDCE75016","AP024418.1")</f>
        <v>AP024418.1</v>
      </c>
    </row>
    <row r="61" spans="1:7" x14ac:dyDescent="0.35">
      <c r="A61" t="s">
        <v>61</v>
      </c>
      <c r="B61">
        <v>158</v>
      </c>
      <c r="C61">
        <v>158</v>
      </c>
      <c r="D61" s="2">
        <v>0.73</v>
      </c>
      <c r="E61" s="3">
        <v>2.0000000000000001E-37</v>
      </c>
      <c r="F61">
        <v>30.3</v>
      </c>
      <c r="G61" t="str">
        <f>HYPERLINK("https://www.ncbi.nlm.nih.gov/nucleotide/XM_024831712.1?report=genbank&amp;log$=nucltop&amp;blast_rank=58&amp;RID=29VDCE75016","XM_024831712.1")</f>
        <v>XM_024831712.1</v>
      </c>
    </row>
    <row r="62" spans="1:7" x14ac:dyDescent="0.35">
      <c r="A62" t="s">
        <v>66</v>
      </c>
      <c r="B62">
        <v>170</v>
      </c>
      <c r="C62">
        <v>170</v>
      </c>
      <c r="D62" s="2">
        <v>0.66</v>
      </c>
      <c r="E62" s="3">
        <v>6.0000000000000005E-42</v>
      </c>
      <c r="F62">
        <v>30.3</v>
      </c>
      <c r="G62" t="str">
        <f>HYPERLINK("https://www.ncbi.nlm.nih.gov/nucleotide/XM_035498118.1?report=genbank&amp;log$=nucltop&amp;blast_rank=59&amp;RID=29VDCE75016","XM_035498118.1")</f>
        <v>XM_035498118.1</v>
      </c>
    </row>
    <row r="63" spans="1:7" x14ac:dyDescent="0.35">
      <c r="A63" t="s">
        <v>65</v>
      </c>
      <c r="B63">
        <v>193</v>
      </c>
      <c r="C63">
        <v>193</v>
      </c>
      <c r="D63" s="2">
        <v>0.83</v>
      </c>
      <c r="E63" s="3">
        <v>9.9999999999999994E-50</v>
      </c>
      <c r="F63">
        <v>30.07</v>
      </c>
      <c r="G63" t="str">
        <f>HYPERLINK("https://www.ncbi.nlm.nih.gov/nucleotide/XM_026774556.1?report=genbank&amp;log$=nucltop&amp;blast_rank=60&amp;RID=29VDCE75016","XM_026774556.1")</f>
        <v>XM_026774556.1</v>
      </c>
    </row>
    <row r="64" spans="1:7" x14ac:dyDescent="0.35">
      <c r="A64" t="s">
        <v>794</v>
      </c>
      <c r="B64">
        <v>170</v>
      </c>
      <c r="C64">
        <v>170</v>
      </c>
      <c r="D64" s="2">
        <v>0.66</v>
      </c>
      <c r="E64" s="3">
        <v>4.9999999999999996E-40</v>
      </c>
      <c r="F64">
        <v>29.93</v>
      </c>
      <c r="G64" t="str">
        <f>HYPERLINK("https://www.ncbi.nlm.nih.gov/nucleotide/AP024419.1?report=genbank&amp;log$=nucltop&amp;blast_rank=61&amp;RID=29VDCE75016","AP024419.1")</f>
        <v>AP024419.1</v>
      </c>
    </row>
    <row r="65" spans="1:7" x14ac:dyDescent="0.35">
      <c r="A65" t="s">
        <v>69</v>
      </c>
      <c r="B65">
        <v>166</v>
      </c>
      <c r="C65">
        <v>166</v>
      </c>
      <c r="D65" s="2">
        <v>0.83</v>
      </c>
      <c r="E65" s="3">
        <v>1.9999999999999999E-40</v>
      </c>
      <c r="F65">
        <v>29.87</v>
      </c>
      <c r="G65" t="str">
        <f>HYPERLINK("https://www.ncbi.nlm.nih.gov/nucleotide/XM_001401884.2?report=genbank&amp;log$=nucltop&amp;blast_rank=62&amp;RID=29VDCE75016","XM_001401884.2")</f>
        <v>XM_001401884.2</v>
      </c>
    </row>
    <row r="66" spans="1:7" x14ac:dyDescent="0.35">
      <c r="A66" t="s">
        <v>72</v>
      </c>
      <c r="B66">
        <v>166</v>
      </c>
      <c r="C66">
        <v>166</v>
      </c>
      <c r="D66" s="2">
        <v>0.83</v>
      </c>
      <c r="E66" s="3">
        <v>6.0000000000000004E-40</v>
      </c>
      <c r="F66">
        <v>29.87</v>
      </c>
      <c r="G66" t="str">
        <f>HYPERLINK("https://www.ncbi.nlm.nih.gov/nucleotide/XM_025601684.1?report=genbank&amp;log$=nucltop&amp;blast_rank=63&amp;RID=29VDCE75016","XM_025601684.1")</f>
        <v>XM_025601684.1</v>
      </c>
    </row>
    <row r="67" spans="1:7" x14ac:dyDescent="0.35">
      <c r="A67" t="s">
        <v>69</v>
      </c>
      <c r="B67">
        <v>194</v>
      </c>
      <c r="C67">
        <v>194</v>
      </c>
      <c r="D67" s="2">
        <v>0.83</v>
      </c>
      <c r="E67" s="3">
        <v>5.9999999999999998E-50</v>
      </c>
      <c r="F67">
        <v>29.81</v>
      </c>
      <c r="G67" t="str">
        <f>HYPERLINK("https://www.ncbi.nlm.nih.gov/nucleotide/XM_001390712.2?report=genbank&amp;log$=nucltop&amp;blast_rank=64&amp;RID=29VDCE75016","XM_001390712.2")</f>
        <v>XM_001390712.2</v>
      </c>
    </row>
    <row r="68" spans="1:7" x14ac:dyDescent="0.35">
      <c r="A68" t="s">
        <v>68</v>
      </c>
      <c r="B68">
        <v>144</v>
      </c>
      <c r="C68">
        <v>144</v>
      </c>
      <c r="D68" s="2">
        <v>0.57999999999999996</v>
      </c>
      <c r="E68" s="3">
        <v>1.0000000000000001E-33</v>
      </c>
      <c r="F68">
        <v>29.74</v>
      </c>
      <c r="G68" t="str">
        <f>HYPERLINK("https://www.ncbi.nlm.nih.gov/nucleotide/XM_001262908.1?report=genbank&amp;log$=nucltop&amp;blast_rank=65&amp;RID=29VDCE75016","XM_001262908.1")</f>
        <v>XM_001262908.1</v>
      </c>
    </row>
    <row r="69" spans="1:7" x14ac:dyDescent="0.35">
      <c r="A69" t="s">
        <v>64</v>
      </c>
      <c r="B69">
        <v>137</v>
      </c>
      <c r="C69">
        <v>137</v>
      </c>
      <c r="D69" s="2">
        <v>0.66</v>
      </c>
      <c r="E69" s="3">
        <v>4.9999999999999997E-30</v>
      </c>
      <c r="F69">
        <v>29.26</v>
      </c>
      <c r="G69" t="str">
        <f>HYPERLINK("https://www.ncbi.nlm.nih.gov/nucleotide/XM_025524425.1?report=genbank&amp;log$=nucltop&amp;blast_rank=66&amp;RID=29VDCE75016","XM_025524425.1")</f>
        <v>XM_025524425.1</v>
      </c>
    </row>
    <row r="70" spans="1:7" x14ac:dyDescent="0.35">
      <c r="A70" t="s">
        <v>85</v>
      </c>
      <c r="B70">
        <v>181</v>
      </c>
      <c r="C70">
        <v>181</v>
      </c>
      <c r="D70" s="2">
        <v>0.82</v>
      </c>
      <c r="E70" s="3">
        <v>9.9999999999999998E-46</v>
      </c>
      <c r="F70">
        <v>29.18</v>
      </c>
      <c r="G70" t="str">
        <f>HYPERLINK("https://www.ncbi.nlm.nih.gov/nucleotide/XM_002559523.1?report=genbank&amp;log$=nucltop&amp;blast_rank=67&amp;RID=29VDCE75016","XM_002559523.1")</f>
        <v>XM_002559523.1</v>
      </c>
    </row>
    <row r="71" spans="1:7" x14ac:dyDescent="0.35">
      <c r="A71" t="s">
        <v>96</v>
      </c>
      <c r="B71">
        <v>145</v>
      </c>
      <c r="C71">
        <v>145</v>
      </c>
      <c r="D71" s="2">
        <v>0.83</v>
      </c>
      <c r="E71" s="3">
        <v>2.0000000000000001E-32</v>
      </c>
      <c r="F71">
        <v>29.04</v>
      </c>
      <c r="G71" t="str">
        <f>HYPERLINK("https://www.ncbi.nlm.nih.gov/nucleotide/XM_026772820.1?report=genbank&amp;log$=nucltop&amp;blast_rank=68&amp;RID=29VDCE75016","XM_026772820.1")</f>
        <v>XM_026772820.1</v>
      </c>
    </row>
    <row r="72" spans="1:7" x14ac:dyDescent="0.35">
      <c r="A72" t="s">
        <v>80</v>
      </c>
      <c r="B72">
        <v>180</v>
      </c>
      <c r="C72">
        <v>180</v>
      </c>
      <c r="D72" s="2">
        <v>0.89</v>
      </c>
      <c r="E72" s="3">
        <v>7.9999999999999999E-45</v>
      </c>
      <c r="F72">
        <v>28.9</v>
      </c>
      <c r="G72" t="str">
        <f>HYPERLINK("https://www.ncbi.nlm.nih.gov/nucleotide/XM_025662501.1?report=genbank&amp;log$=nucltop&amp;blast_rank=69&amp;RID=29VDCE75016","XM_025662501.1")</f>
        <v>XM_025662501.1</v>
      </c>
    </row>
    <row r="73" spans="1:7" x14ac:dyDescent="0.35">
      <c r="A73" t="s">
        <v>84</v>
      </c>
      <c r="B73">
        <v>157</v>
      </c>
      <c r="C73">
        <v>157</v>
      </c>
      <c r="D73" s="2">
        <v>0.67</v>
      </c>
      <c r="E73" s="3">
        <v>3E-37</v>
      </c>
      <c r="F73">
        <v>28.9</v>
      </c>
      <c r="G73" t="str">
        <f>HYPERLINK("https://www.ncbi.nlm.nih.gov/nucleotide/XM_023599633.1?report=genbank&amp;log$=nucltop&amp;blast_rank=70&amp;RID=29VDCE75016","XM_023599633.1")</f>
        <v>XM_023599633.1</v>
      </c>
    </row>
    <row r="74" spans="1:7" x14ac:dyDescent="0.35">
      <c r="A74" t="s">
        <v>73</v>
      </c>
      <c r="B74">
        <v>115</v>
      </c>
      <c r="C74">
        <v>115</v>
      </c>
      <c r="D74" s="2">
        <v>0.54</v>
      </c>
      <c r="E74" s="3">
        <v>2.9999999999999999E-22</v>
      </c>
      <c r="F74">
        <v>28.69</v>
      </c>
      <c r="G74" t="str">
        <f>HYPERLINK("https://www.ncbi.nlm.nih.gov/nucleotide/CP002439.1?report=genbank&amp;log$=nucltop&amp;blast_rank=71&amp;RID=29VDCE75016","CP002439.1")</f>
        <v>CP002439.1</v>
      </c>
    </row>
    <row r="75" spans="1:7" x14ac:dyDescent="0.35">
      <c r="A75" t="s">
        <v>82</v>
      </c>
      <c r="B75">
        <v>115</v>
      </c>
      <c r="C75">
        <v>115</v>
      </c>
      <c r="D75" s="2">
        <v>0.61</v>
      </c>
      <c r="E75" s="3">
        <v>1.9999999999999999E-23</v>
      </c>
      <c r="F75">
        <v>28.64</v>
      </c>
      <c r="G75" t="str">
        <f>HYPERLINK("https://www.ncbi.nlm.nih.gov/nucleotide/XM_033601052.1?report=genbank&amp;log$=nucltop&amp;blast_rank=72&amp;RID=29VDCE75016","XM_033601052.1")</f>
        <v>XM_033601052.1</v>
      </c>
    </row>
    <row r="76" spans="1:7" x14ac:dyDescent="0.35">
      <c r="A76" t="s">
        <v>71</v>
      </c>
      <c r="B76">
        <v>137</v>
      </c>
      <c r="C76">
        <v>137</v>
      </c>
      <c r="D76" s="2">
        <v>0.6</v>
      </c>
      <c r="E76" s="3">
        <v>7.0000000000000006E-30</v>
      </c>
      <c r="F76">
        <v>28.54</v>
      </c>
      <c r="G76" t="str">
        <f>HYPERLINK("https://www.ncbi.nlm.nih.gov/nucleotide/XM_025658697.1?report=genbank&amp;log$=nucltop&amp;blast_rank=73&amp;RID=29VDCE75016","XM_025658697.1")</f>
        <v>XM_025658697.1</v>
      </c>
    </row>
    <row r="77" spans="1:7" x14ac:dyDescent="0.35">
      <c r="A77" t="s">
        <v>77</v>
      </c>
      <c r="B77">
        <v>135</v>
      </c>
      <c r="C77">
        <v>135</v>
      </c>
      <c r="D77" s="2">
        <v>0.6</v>
      </c>
      <c r="E77" s="3">
        <v>3.9999999999999998E-29</v>
      </c>
      <c r="F77">
        <v>28.54</v>
      </c>
      <c r="G77" t="str">
        <f>HYPERLINK("https://www.ncbi.nlm.nih.gov/nucleotide/XM_025680603.1?report=genbank&amp;log$=nucltop&amp;blast_rank=74&amp;RID=29VDCE75016","XM_025680603.1")</f>
        <v>XM_025680603.1</v>
      </c>
    </row>
    <row r="78" spans="1:7" x14ac:dyDescent="0.35">
      <c r="A78" t="s">
        <v>88</v>
      </c>
      <c r="B78">
        <v>114</v>
      </c>
      <c r="C78">
        <v>114</v>
      </c>
      <c r="D78" s="2">
        <v>0.59</v>
      </c>
      <c r="E78" s="3">
        <v>9.9999999999999996E-24</v>
      </c>
      <c r="F78">
        <v>28.46</v>
      </c>
      <c r="G78" t="str">
        <f>HYPERLINK("https://www.ncbi.nlm.nih.gov/nucleotide/XM_032059862.1?report=genbank&amp;log$=nucltop&amp;blast_rank=75&amp;RID=29VDCE75016","XM_032059862.1")</f>
        <v>XM_032059862.1</v>
      </c>
    </row>
    <row r="79" spans="1:7" x14ac:dyDescent="0.35">
      <c r="A79" t="s">
        <v>67</v>
      </c>
      <c r="B79">
        <v>121</v>
      </c>
      <c r="C79">
        <v>121</v>
      </c>
      <c r="D79" s="2">
        <v>0.51</v>
      </c>
      <c r="E79" s="3">
        <v>9.0000000000000002E-25</v>
      </c>
      <c r="F79">
        <v>28.29</v>
      </c>
      <c r="G79" t="str">
        <f>HYPERLINK("https://www.ncbi.nlm.nih.gov/nucleotide/XM_025589412.1?report=genbank&amp;log$=nucltop&amp;blast_rank=76&amp;RID=29VDCE75016","XM_025589412.1")</f>
        <v>XM_025589412.1</v>
      </c>
    </row>
    <row r="80" spans="1:7" x14ac:dyDescent="0.35">
      <c r="A80" t="s">
        <v>79</v>
      </c>
      <c r="B80">
        <v>161</v>
      </c>
      <c r="C80">
        <v>161</v>
      </c>
      <c r="D80" s="2">
        <v>0.6</v>
      </c>
      <c r="E80" s="3">
        <v>1.9999999999999999E-38</v>
      </c>
      <c r="F80">
        <v>28.25</v>
      </c>
      <c r="G80" t="str">
        <f>HYPERLINK("https://www.ncbi.nlm.nih.gov/nucleotide/XM_033553550.1?report=genbank&amp;log$=nucltop&amp;blast_rank=77&amp;RID=29VDCE75016","XM_033553550.1")</f>
        <v>XM_033553550.1</v>
      </c>
    </row>
    <row r="81" spans="1:7" x14ac:dyDescent="0.35">
      <c r="A81" t="s">
        <v>90</v>
      </c>
      <c r="B81">
        <v>165</v>
      </c>
      <c r="C81">
        <v>165</v>
      </c>
      <c r="D81" s="2">
        <v>0.87</v>
      </c>
      <c r="E81" s="3">
        <v>1.9999999999999999E-39</v>
      </c>
      <c r="F81">
        <v>28.2</v>
      </c>
      <c r="G81" t="str">
        <f>HYPERLINK("https://www.ncbi.nlm.nih.gov/nucleotide/XM_025683366.1?report=genbank&amp;log$=nucltop&amp;blast_rank=78&amp;RID=29VDCE75016","XM_025683366.1")</f>
        <v>XM_025683366.1</v>
      </c>
    </row>
    <row r="82" spans="1:7" x14ac:dyDescent="0.35">
      <c r="A82" t="s">
        <v>98</v>
      </c>
      <c r="B82">
        <v>133</v>
      </c>
      <c r="C82">
        <v>260</v>
      </c>
      <c r="D82" s="2">
        <v>0.73</v>
      </c>
      <c r="E82" s="3">
        <v>3.9999999999999999E-28</v>
      </c>
      <c r="F82">
        <v>28.18</v>
      </c>
      <c r="G82" t="str">
        <f>HYPERLINK("https://www.ncbi.nlm.nih.gov/nucleotide/XM_026749516.1?report=genbank&amp;log$=nucltop&amp;blast_rank=79&amp;RID=29VDCE75016","XM_026749516.1")</f>
        <v>XM_026749516.1</v>
      </c>
    </row>
    <row r="83" spans="1:7" x14ac:dyDescent="0.35">
      <c r="A83" t="s">
        <v>81</v>
      </c>
      <c r="B83">
        <v>133</v>
      </c>
      <c r="C83">
        <v>133</v>
      </c>
      <c r="D83" s="2">
        <v>0.64</v>
      </c>
      <c r="E83" s="3">
        <v>3.9999999999999998E-29</v>
      </c>
      <c r="F83">
        <v>28.01</v>
      </c>
      <c r="G83" t="str">
        <f>HYPERLINK("https://www.ncbi.nlm.nih.gov/nucleotide/XM_011327711.1?report=genbank&amp;log$=nucltop&amp;blast_rank=80&amp;RID=29VDCE75016","XM_011327711.1")</f>
        <v>XM_011327711.1</v>
      </c>
    </row>
    <row r="84" spans="1:7" x14ac:dyDescent="0.35">
      <c r="A84" t="s">
        <v>53</v>
      </c>
      <c r="B84">
        <v>184</v>
      </c>
      <c r="C84">
        <v>184</v>
      </c>
      <c r="D84" s="2">
        <v>0.95</v>
      </c>
      <c r="E84" s="3">
        <v>5.9999999999999997E-46</v>
      </c>
      <c r="F84">
        <v>27.9</v>
      </c>
      <c r="G84" t="str">
        <f>HYPERLINK("https://www.ncbi.nlm.nih.gov/nucleotide/XM_025704096.1?report=genbank&amp;log$=nucltop&amp;blast_rank=81&amp;RID=29VDCE75016","XM_025704096.1")</f>
        <v>XM_025704096.1</v>
      </c>
    </row>
    <row r="85" spans="1:7" x14ac:dyDescent="0.35">
      <c r="A85" t="s">
        <v>70</v>
      </c>
      <c r="B85">
        <v>119</v>
      </c>
      <c r="C85">
        <v>119</v>
      </c>
      <c r="D85" s="2">
        <v>0.51</v>
      </c>
      <c r="E85" s="3">
        <v>5.9999999999999999E-24</v>
      </c>
      <c r="F85">
        <v>27.73</v>
      </c>
      <c r="G85" t="str">
        <f>HYPERLINK("https://www.ncbi.nlm.nih.gov/nucleotide/XM_020201213.1?report=genbank&amp;log$=nucltop&amp;blast_rank=82&amp;RID=29VDCE75016","XM_020201213.1")</f>
        <v>XM_020201213.1</v>
      </c>
    </row>
    <row r="86" spans="1:7" x14ac:dyDescent="0.35">
      <c r="A86" t="s">
        <v>743</v>
      </c>
      <c r="B86">
        <v>135</v>
      </c>
      <c r="C86">
        <v>169</v>
      </c>
      <c r="D86" s="2">
        <v>0.67</v>
      </c>
      <c r="E86" s="3">
        <v>1.0000000000000001E-31</v>
      </c>
      <c r="F86">
        <v>27.71</v>
      </c>
      <c r="G86" t="str">
        <f>HYPERLINK("https://www.ncbi.nlm.nih.gov/nucleotide/CP066504.1?report=genbank&amp;log$=nucltop&amp;blast_rank=83&amp;RID=29VDCE75016","CP066504.1")</f>
        <v>CP066504.1</v>
      </c>
    </row>
    <row r="87" spans="1:7" x14ac:dyDescent="0.35">
      <c r="A87" t="s">
        <v>95</v>
      </c>
      <c r="B87">
        <v>137</v>
      </c>
      <c r="C87">
        <v>137</v>
      </c>
      <c r="D87" s="2">
        <v>0.61</v>
      </c>
      <c r="E87" s="3">
        <v>1.9999999999999999E-29</v>
      </c>
      <c r="F87">
        <v>27.65</v>
      </c>
      <c r="G87" t="str">
        <f>HYPERLINK("https://www.ncbi.nlm.nih.gov/nucleotide/CP051074.1?report=genbank&amp;log$=nucltop&amp;blast_rank=84&amp;RID=29VDCE75016","CP051074.1")</f>
        <v>CP051074.1</v>
      </c>
    </row>
    <row r="88" spans="1:7" x14ac:dyDescent="0.35">
      <c r="A88" t="s">
        <v>91</v>
      </c>
      <c r="B88">
        <v>137</v>
      </c>
      <c r="C88">
        <v>137</v>
      </c>
      <c r="D88" s="2">
        <v>0.61</v>
      </c>
      <c r="E88" s="3">
        <v>1.9999999999999999E-29</v>
      </c>
      <c r="F88">
        <v>27.65</v>
      </c>
      <c r="G88" t="str">
        <f>HYPERLINK("https://www.ncbi.nlm.nih.gov/nucleotide/CP051096.1?report=genbank&amp;log$=nucltop&amp;blast_rank=85&amp;RID=29VDCE75016","CP051096.1")</f>
        <v>CP051096.1</v>
      </c>
    </row>
    <row r="89" spans="1:7" x14ac:dyDescent="0.35">
      <c r="A89" t="s">
        <v>92</v>
      </c>
      <c r="B89">
        <v>137</v>
      </c>
      <c r="C89">
        <v>137</v>
      </c>
      <c r="D89" s="2">
        <v>0.61</v>
      </c>
      <c r="E89" s="3">
        <v>1.9999999999999999E-29</v>
      </c>
      <c r="F89">
        <v>27.65</v>
      </c>
      <c r="G89" t="str">
        <f>HYPERLINK("https://www.ncbi.nlm.nih.gov/nucleotide/CP051080.1?report=genbank&amp;log$=nucltop&amp;blast_rank=86&amp;RID=29VDCE75016","CP051080.1")</f>
        <v>CP051080.1</v>
      </c>
    </row>
    <row r="90" spans="1:7" x14ac:dyDescent="0.35">
      <c r="A90" t="s">
        <v>93</v>
      </c>
      <c r="B90">
        <v>137</v>
      </c>
      <c r="C90">
        <v>137</v>
      </c>
      <c r="D90" s="2">
        <v>0.61</v>
      </c>
      <c r="E90" s="3">
        <v>1.9999999999999999E-29</v>
      </c>
      <c r="F90">
        <v>27.65</v>
      </c>
      <c r="G90" t="str">
        <f>HYPERLINK("https://www.ncbi.nlm.nih.gov/nucleotide/CP051024.1?report=genbank&amp;log$=nucltop&amp;blast_rank=87&amp;RID=29VDCE75016","CP051024.1")</f>
        <v>CP051024.1</v>
      </c>
    </row>
    <row r="91" spans="1:7" x14ac:dyDescent="0.35">
      <c r="A91" t="s">
        <v>94</v>
      </c>
      <c r="B91">
        <v>137</v>
      </c>
      <c r="C91">
        <v>137</v>
      </c>
      <c r="D91" s="2">
        <v>0.61</v>
      </c>
      <c r="E91" s="3">
        <v>1.9999999999999999E-29</v>
      </c>
      <c r="F91">
        <v>27.65</v>
      </c>
      <c r="G91" t="str">
        <f>HYPERLINK("https://www.ncbi.nlm.nih.gov/nucleotide/CP051064.1?report=genbank&amp;log$=nucltop&amp;blast_rank=88&amp;RID=29VDCE75016","CP051064.1")</f>
        <v>CP051064.1</v>
      </c>
    </row>
    <row r="92" spans="1:7" x14ac:dyDescent="0.35">
      <c r="A92" t="s">
        <v>78</v>
      </c>
      <c r="B92">
        <v>137</v>
      </c>
      <c r="C92">
        <v>137</v>
      </c>
      <c r="D92" s="2">
        <v>0.67</v>
      </c>
      <c r="E92" s="3">
        <v>2.0000000000000002E-31</v>
      </c>
      <c r="F92">
        <v>27.31</v>
      </c>
      <c r="G92" t="str">
        <f>HYPERLINK("https://www.ncbi.nlm.nih.gov/nucleotide/XM_001262909.1?report=genbank&amp;log$=nucltop&amp;blast_rank=89&amp;RID=29VDCE75016","XM_001262909.1")</f>
        <v>XM_001262909.1</v>
      </c>
    </row>
    <row r="93" spans="1:7" x14ac:dyDescent="0.35">
      <c r="A93" t="s">
        <v>76</v>
      </c>
      <c r="B93">
        <v>146</v>
      </c>
      <c r="C93">
        <v>146</v>
      </c>
      <c r="D93" s="2">
        <v>0.65</v>
      </c>
      <c r="E93" s="3">
        <v>3.0000000000000002E-33</v>
      </c>
      <c r="F93">
        <v>27.23</v>
      </c>
      <c r="G93" t="str">
        <f>HYPERLINK("https://www.ncbi.nlm.nih.gov/nucleotide/XM_026762387.1?report=genbank&amp;log$=nucltop&amp;blast_rank=90&amp;RID=29VDCE75016","XM_026762387.1")</f>
        <v>XM_026762387.1</v>
      </c>
    </row>
    <row r="94" spans="1:7" x14ac:dyDescent="0.35">
      <c r="A94" t="s">
        <v>63</v>
      </c>
      <c r="B94">
        <v>127</v>
      </c>
      <c r="C94">
        <v>127</v>
      </c>
      <c r="D94" s="2">
        <v>0.54</v>
      </c>
      <c r="E94" s="3">
        <v>1E-26</v>
      </c>
      <c r="F94">
        <v>27.2</v>
      </c>
      <c r="G94" t="str">
        <f>HYPERLINK("https://www.ncbi.nlm.nih.gov/nucleotide/XM_025640972.1?report=genbank&amp;log$=nucltop&amp;blast_rank=91&amp;RID=29VDCE75016","XM_025640972.1")</f>
        <v>XM_025640972.1</v>
      </c>
    </row>
    <row r="95" spans="1:7" x14ac:dyDescent="0.35">
      <c r="A95" t="s">
        <v>62</v>
      </c>
      <c r="B95">
        <v>124</v>
      </c>
      <c r="C95">
        <v>124</v>
      </c>
      <c r="D95" s="2">
        <v>0.54</v>
      </c>
      <c r="E95" s="3">
        <v>8.0000000000000003E-26</v>
      </c>
      <c r="F95">
        <v>27.2</v>
      </c>
      <c r="G95" t="str">
        <f>HYPERLINK("https://www.ncbi.nlm.nih.gov/nucleotide/XM_025673733.1?report=genbank&amp;log$=nucltop&amp;blast_rank=92&amp;RID=29VDCE75016","XM_025673733.1")</f>
        <v>XM_025673733.1</v>
      </c>
    </row>
    <row r="96" spans="1:7" x14ac:dyDescent="0.35">
      <c r="A96" s="4" t="s">
        <v>87</v>
      </c>
      <c r="B96" s="4">
        <v>127</v>
      </c>
      <c r="C96" s="4">
        <v>127</v>
      </c>
      <c r="D96" s="5">
        <v>0.63</v>
      </c>
      <c r="E96" s="6">
        <v>2.0000000000000001E-26</v>
      </c>
      <c r="F96" s="4">
        <v>26.92</v>
      </c>
      <c r="G96" s="4" t="str">
        <f>HYPERLINK("https://www.ncbi.nlm.nih.gov/nucleotide/XM_007819030.2?report=genbank&amp;log$=nucltop&amp;blast_rank=93&amp;RID=29VDCE75016","XM_007819030.2")</f>
        <v>XM_007819030.2</v>
      </c>
    </row>
    <row r="97" spans="1:7" x14ac:dyDescent="0.35">
      <c r="A97" t="s">
        <v>97</v>
      </c>
      <c r="B97">
        <v>139</v>
      </c>
      <c r="C97">
        <v>139</v>
      </c>
      <c r="D97" s="2">
        <v>0.65</v>
      </c>
      <c r="E97" s="3">
        <v>9.0000000000000008E-31</v>
      </c>
      <c r="F97">
        <v>26.65</v>
      </c>
      <c r="G97" t="str">
        <f>HYPERLINK("https://www.ncbi.nlm.nih.gov/nucleotide/XM_035484606.1?report=genbank&amp;log$=nucltop&amp;blast_rank=94&amp;RID=29VDCE75016","XM_035484606.1")</f>
        <v>XM_035484606.1</v>
      </c>
    </row>
    <row r="98" spans="1:7" x14ac:dyDescent="0.35">
      <c r="A98" t="s">
        <v>89</v>
      </c>
      <c r="B98">
        <v>141</v>
      </c>
      <c r="C98">
        <v>141</v>
      </c>
      <c r="D98" s="2">
        <v>0.65</v>
      </c>
      <c r="E98" s="3">
        <v>4.0000000000000003E-31</v>
      </c>
      <c r="F98">
        <v>26.64</v>
      </c>
      <c r="G98" t="str">
        <f>HYPERLINK("https://www.ncbi.nlm.nih.gov/nucleotide/XM_024828224.1?report=genbank&amp;log$=nucltop&amp;blast_rank=95&amp;RID=29VDCE75016","XM_024828224.1")</f>
        <v>XM_024828224.1</v>
      </c>
    </row>
    <row r="99" spans="1:7" x14ac:dyDescent="0.35">
      <c r="A99" t="s">
        <v>104</v>
      </c>
      <c r="B99">
        <v>102</v>
      </c>
      <c r="C99">
        <v>141</v>
      </c>
      <c r="D99" s="2">
        <v>0.67</v>
      </c>
      <c r="E99" s="3">
        <v>3E-23</v>
      </c>
      <c r="F99">
        <v>25.85</v>
      </c>
      <c r="G99" t="str">
        <f>HYPERLINK("https://www.ncbi.nlm.nih.gov/nucleotide/CP036211.1?report=genbank&amp;log$=nucltop&amp;blast_rank=96&amp;RID=29VDCE75016","CP036211.1")</f>
        <v>CP036211.1</v>
      </c>
    </row>
    <row r="100" spans="1:7" x14ac:dyDescent="0.35">
      <c r="A100" s="4" t="s">
        <v>99</v>
      </c>
      <c r="B100" s="4">
        <v>125</v>
      </c>
      <c r="C100" s="4">
        <v>125</v>
      </c>
      <c r="D100" s="5">
        <v>0.68</v>
      </c>
      <c r="E100" s="6">
        <v>8.9999999999999998E-26</v>
      </c>
      <c r="F100" s="4">
        <v>25.82</v>
      </c>
      <c r="G100" s="4" t="str">
        <f>HYPERLINK("https://www.ncbi.nlm.nih.gov/nucleotide/XM_014687487.1?report=genbank&amp;log$=nucltop&amp;blast_rank=97&amp;RID=29VDCE75016","XM_014687487.1")</f>
        <v>XM_014687487.1</v>
      </c>
    </row>
    <row r="101" spans="1:7" x14ac:dyDescent="0.35">
      <c r="A101" t="s">
        <v>101</v>
      </c>
      <c r="B101">
        <v>125</v>
      </c>
      <c r="C101">
        <v>125</v>
      </c>
      <c r="D101" s="2">
        <v>0.69</v>
      </c>
      <c r="E101" s="3">
        <v>1E-26</v>
      </c>
      <c r="F101">
        <v>25.67</v>
      </c>
      <c r="G101" t="str">
        <f>HYPERLINK("https://www.ncbi.nlm.nih.gov/nucleotide/XM_023596533.1?report=genbank&amp;log$=nucltop&amp;blast_rank=98&amp;RID=29VDCE75016","XM_023596533.1")</f>
        <v>XM_023596533.1</v>
      </c>
    </row>
    <row r="102" spans="1:7" x14ac:dyDescent="0.35">
      <c r="A102" t="s">
        <v>102</v>
      </c>
      <c r="B102">
        <v>110</v>
      </c>
      <c r="C102">
        <v>142</v>
      </c>
      <c r="D102" s="2">
        <v>0.62</v>
      </c>
      <c r="E102" s="3">
        <v>1.9999999999999999E-23</v>
      </c>
      <c r="F102">
        <v>25.31</v>
      </c>
      <c r="G102" t="str">
        <f>HYPERLINK("https://www.ncbi.nlm.nih.gov/nucleotide/CP055898.1?report=genbank&amp;log$=nucltop&amp;blast_rank=99&amp;RID=29VDCE75016","CP055898.1")</f>
        <v>CP055898.1</v>
      </c>
    </row>
    <row r="103" spans="1:7" x14ac:dyDescent="0.35">
      <c r="A103" t="s">
        <v>105</v>
      </c>
      <c r="B103">
        <v>129</v>
      </c>
      <c r="C103">
        <v>129</v>
      </c>
      <c r="D103" s="2">
        <v>0.71</v>
      </c>
      <c r="E103" s="3">
        <v>5.0000000000000002E-27</v>
      </c>
      <c r="F103">
        <v>25.16</v>
      </c>
      <c r="G103" t="str">
        <f>HYPERLINK("https://www.ncbi.nlm.nih.gov/nucleotide/XM_033555780.1?report=genbank&amp;log$=nucltop&amp;blast_rank=100&amp;RID=29VDCE75016","XM_033555780.1")</f>
        <v>XM_033555780.1</v>
      </c>
    </row>
    <row r="104" spans="1:7" x14ac:dyDescent="0.35">
      <c r="A104" s="1" t="s">
        <v>1388</v>
      </c>
    </row>
    <row r="105" spans="1:7" x14ac:dyDescent="0.35">
      <c r="A105" s="1" t="s">
        <v>2</v>
      </c>
      <c r="B105" s="1" t="s">
        <v>3</v>
      </c>
      <c r="C105" s="1" t="s">
        <v>4</v>
      </c>
      <c r="D105" s="1" t="s">
        <v>5</v>
      </c>
      <c r="E105" s="1" t="s">
        <v>6</v>
      </c>
      <c r="F105" s="1" t="s">
        <v>7</v>
      </c>
      <c r="G105" s="1" t="s">
        <v>8</v>
      </c>
    </row>
    <row r="106" spans="1:7" x14ac:dyDescent="0.35">
      <c r="A106" t="s">
        <v>107</v>
      </c>
      <c r="B106">
        <v>176</v>
      </c>
      <c r="C106">
        <v>220</v>
      </c>
      <c r="D106" s="2">
        <v>0.38</v>
      </c>
      <c r="E106" s="3">
        <v>6.0000000000000003E-47</v>
      </c>
      <c r="F106">
        <v>69.16</v>
      </c>
      <c r="G106" t="str">
        <f>HYPERLINK("https://www.ncbi.nlm.nih.gov/nucleotide/CP019380.1?report=genbank&amp;log$=nucltop&amp;blast_rank=1&amp;RID=29VF41H6016","CP019380.1")</f>
        <v>CP019380.1</v>
      </c>
    </row>
    <row r="107" spans="1:7" x14ac:dyDescent="0.35">
      <c r="A107" t="s">
        <v>108</v>
      </c>
      <c r="B107">
        <v>187</v>
      </c>
      <c r="C107">
        <v>187</v>
      </c>
      <c r="D107" s="2">
        <v>0.25</v>
      </c>
      <c r="E107" s="3">
        <v>1E-53</v>
      </c>
      <c r="F107">
        <v>61.54</v>
      </c>
      <c r="G107" t="str">
        <f>HYPERLINK("https://www.ncbi.nlm.nih.gov/nucleotide/XM_024486644.1?report=genbank&amp;log$=nucltop&amp;blast_rank=2&amp;RID=29VF41H6016","XM_024486644.1")</f>
        <v>XM_024486644.1</v>
      </c>
    </row>
    <row r="108" spans="1:7" x14ac:dyDescent="0.35">
      <c r="A108" t="s">
        <v>9</v>
      </c>
      <c r="B108">
        <v>561</v>
      </c>
      <c r="C108">
        <v>561</v>
      </c>
      <c r="D108" s="2">
        <v>1</v>
      </c>
      <c r="E108" s="3">
        <v>6E-176</v>
      </c>
      <c r="F108">
        <v>60.11</v>
      </c>
      <c r="G108" t="str">
        <f>HYPERLINK("https://www.ncbi.nlm.nih.gov/nucleotide/LR732079.1?report=genbank&amp;log$=nucltop&amp;blast_rank=3&amp;RID=29VF41H6016","LR732079.1")</f>
        <v>LR732079.1</v>
      </c>
    </row>
    <row r="109" spans="1:7" x14ac:dyDescent="0.35">
      <c r="A109" t="s">
        <v>109</v>
      </c>
      <c r="B109">
        <v>186</v>
      </c>
      <c r="C109">
        <v>186</v>
      </c>
      <c r="D109" s="2">
        <v>0.27</v>
      </c>
      <c r="E109" s="3">
        <v>5E-53</v>
      </c>
      <c r="F109">
        <v>58.16</v>
      </c>
      <c r="G109" t="str">
        <f>HYPERLINK("https://www.ncbi.nlm.nih.gov/nucleotide/XM_007870492.1?report=genbank&amp;log$=nucltop&amp;blast_rank=4&amp;RID=29VF41H6016","XM_007870492.1")</f>
        <v>XM_007870492.1</v>
      </c>
    </row>
    <row r="110" spans="1:7" x14ac:dyDescent="0.35">
      <c r="A110" t="s">
        <v>21</v>
      </c>
      <c r="B110">
        <v>176</v>
      </c>
      <c r="C110">
        <v>176</v>
      </c>
      <c r="D110" s="2">
        <v>0.25</v>
      </c>
      <c r="E110" s="3">
        <v>1.9999999999999999E-49</v>
      </c>
      <c r="F110">
        <v>57.36</v>
      </c>
      <c r="G110" t="str">
        <f>HYPERLINK("https://www.ncbi.nlm.nih.gov/nucleotide/XM_009546988.1?report=genbank&amp;log$=nucltop&amp;blast_rank=5&amp;RID=29VF41H6016","XM_009546988.1")</f>
        <v>XM_009546988.1</v>
      </c>
    </row>
    <row r="111" spans="1:7" x14ac:dyDescent="0.35">
      <c r="A111" t="s">
        <v>112</v>
      </c>
      <c r="B111">
        <v>171</v>
      </c>
      <c r="C111">
        <v>171</v>
      </c>
      <c r="D111" s="2">
        <v>0.24</v>
      </c>
      <c r="E111" s="3">
        <v>6.0000000000000003E-47</v>
      </c>
      <c r="F111">
        <v>56.64</v>
      </c>
      <c r="G111" t="str">
        <f>HYPERLINK("https://www.ncbi.nlm.nih.gov/nucleotide/XM_007393520.1?report=genbank&amp;log$=nucltop&amp;blast_rank=6&amp;RID=29VF41H6016","XM_007393520.1")</f>
        <v>XM_007393520.1</v>
      </c>
    </row>
    <row r="112" spans="1:7" x14ac:dyDescent="0.35">
      <c r="A112" t="s">
        <v>19</v>
      </c>
      <c r="B112">
        <v>208</v>
      </c>
      <c r="C112">
        <v>208</v>
      </c>
      <c r="D112" s="2">
        <v>0.35</v>
      </c>
      <c r="E112" s="3">
        <v>1.9999999999999999E-57</v>
      </c>
      <c r="F112">
        <v>56.42</v>
      </c>
      <c r="G112" t="str">
        <f>HYPERLINK("https://www.ncbi.nlm.nih.gov/nucleotide/XM_001880888.1?report=genbank&amp;log$=nucltop&amp;blast_rank=7&amp;RID=29VF41H6016","XM_001880888.1")</f>
        <v>XM_001880888.1</v>
      </c>
    </row>
    <row r="113" spans="1:7" x14ac:dyDescent="0.35">
      <c r="A113" t="s">
        <v>118</v>
      </c>
      <c r="B113">
        <v>220</v>
      </c>
      <c r="C113">
        <v>220</v>
      </c>
      <c r="D113" s="2">
        <v>0.37</v>
      </c>
      <c r="E113" s="3">
        <v>2.0000000000000001E-61</v>
      </c>
      <c r="F113">
        <v>56.38</v>
      </c>
      <c r="G113" t="str">
        <f>HYPERLINK("https://www.ncbi.nlm.nih.gov/nucleotide/XM_006459160.1?report=genbank&amp;log$=nucltop&amp;blast_rank=8&amp;RID=29VF41H6016","XM_006459160.1")</f>
        <v>XM_006459160.1</v>
      </c>
    </row>
    <row r="114" spans="1:7" x14ac:dyDescent="0.35">
      <c r="A114" t="s">
        <v>111</v>
      </c>
      <c r="B114">
        <v>219</v>
      </c>
      <c r="C114">
        <v>219</v>
      </c>
      <c r="D114" s="2">
        <v>0.37</v>
      </c>
      <c r="E114" s="3">
        <v>3.9999999999999999E-64</v>
      </c>
      <c r="F114">
        <v>55.32</v>
      </c>
      <c r="G114" t="str">
        <f>HYPERLINK("https://www.ncbi.nlm.nih.gov/nucleotide/XM_007330300.1?report=genbank&amp;log$=nucltop&amp;blast_rank=9&amp;RID=29VF41H6016","XM_007330300.1")</f>
        <v>XM_007330300.1</v>
      </c>
    </row>
    <row r="115" spans="1:7" x14ac:dyDescent="0.35">
      <c r="A115" s="4" t="s">
        <v>114</v>
      </c>
      <c r="B115" s="4">
        <v>196</v>
      </c>
      <c r="C115" s="4">
        <v>196</v>
      </c>
      <c r="D115" s="5">
        <v>0.33</v>
      </c>
      <c r="E115" s="6">
        <v>8.0000000000000001E-52</v>
      </c>
      <c r="F115" s="4">
        <v>54.97</v>
      </c>
      <c r="G115" s="4" t="str">
        <f>HYPERLINK("https://www.ncbi.nlm.nih.gov/nucleotide/LR724670.1?report=genbank&amp;log$=nucltop&amp;blast_rank=10&amp;RID=29VF41H6016","LR724670.1")</f>
        <v>LR724670.1</v>
      </c>
    </row>
    <row r="116" spans="1:7" x14ac:dyDescent="0.35">
      <c r="A116" t="s">
        <v>122</v>
      </c>
      <c r="B116">
        <v>194</v>
      </c>
      <c r="C116">
        <v>194</v>
      </c>
      <c r="D116" s="2">
        <v>0.33</v>
      </c>
      <c r="E116" s="3">
        <v>2E-50</v>
      </c>
      <c r="F116">
        <v>54.97</v>
      </c>
      <c r="G116" t="str">
        <f>HYPERLINK("https://www.ncbi.nlm.nih.gov/nucleotide/XM_007362291.1?report=genbank&amp;log$=nucltop&amp;blast_rank=11&amp;RID=29VF41H6016","XM_007362291.1")</f>
        <v>XM_007362291.1</v>
      </c>
    </row>
    <row r="117" spans="1:7" x14ac:dyDescent="0.35">
      <c r="A117" t="s">
        <v>113</v>
      </c>
      <c r="B117">
        <v>190</v>
      </c>
      <c r="C117">
        <v>190</v>
      </c>
      <c r="D117" s="2">
        <v>0.34</v>
      </c>
      <c r="E117" s="3">
        <v>1E-54</v>
      </c>
      <c r="F117">
        <v>54.55</v>
      </c>
      <c r="G117" t="str">
        <f>HYPERLINK("https://www.ncbi.nlm.nih.gov/nucleotide/XM_008041408.1?report=genbank&amp;log$=nucltop&amp;blast_rank=12&amp;RID=29VF41H6016","XM_008041408.1")</f>
        <v>XM_008041408.1</v>
      </c>
    </row>
    <row r="118" spans="1:7" x14ac:dyDescent="0.35">
      <c r="A118" s="4" t="s">
        <v>117</v>
      </c>
      <c r="B118" s="4">
        <v>193</v>
      </c>
      <c r="C118" s="4">
        <v>193</v>
      </c>
      <c r="D118" s="5">
        <v>0.34</v>
      </c>
      <c r="E118" s="6">
        <v>6E-51</v>
      </c>
      <c r="F118" s="4">
        <v>53.37</v>
      </c>
      <c r="G118" s="4" t="str">
        <f>HYPERLINK("https://www.ncbi.nlm.nih.gov/nucleotide/XM_037359091.1?report=genbank&amp;log$=nucltop&amp;blast_rank=13&amp;RID=29VF41H6016","XM_037359091.1")</f>
        <v>XM_037359091.1</v>
      </c>
    </row>
    <row r="119" spans="1:7" x14ac:dyDescent="0.35">
      <c r="A119" t="s">
        <v>115</v>
      </c>
      <c r="B119">
        <v>188</v>
      </c>
      <c r="C119">
        <v>188</v>
      </c>
      <c r="D119" s="2">
        <v>0.33</v>
      </c>
      <c r="E119" s="3">
        <v>2.0000000000000001E-53</v>
      </c>
      <c r="F119">
        <v>52.05</v>
      </c>
      <c r="G119" t="str">
        <f>HYPERLINK("https://www.ncbi.nlm.nih.gov/nucleotide/XM_007388990.1?report=genbank&amp;log$=nucltop&amp;blast_rank=14&amp;RID=29VF41H6016","XM_007388990.1")</f>
        <v>XM_007388990.1</v>
      </c>
    </row>
    <row r="120" spans="1:7" x14ac:dyDescent="0.35">
      <c r="A120" t="s">
        <v>116</v>
      </c>
      <c r="B120">
        <v>189</v>
      </c>
      <c r="C120">
        <v>189</v>
      </c>
      <c r="D120" s="2">
        <v>0.33</v>
      </c>
      <c r="E120" s="3">
        <v>4.9999999999999999E-49</v>
      </c>
      <c r="F120">
        <v>51.46</v>
      </c>
      <c r="G120" t="str">
        <f>HYPERLINK("https://www.ncbi.nlm.nih.gov/nucleotide/XM_007299403.1?report=genbank&amp;log$=nucltop&amp;blast_rank=15&amp;RID=29VF41H6016","XM_007299403.1")</f>
        <v>XM_007299403.1</v>
      </c>
    </row>
    <row r="121" spans="1:7" x14ac:dyDescent="0.35">
      <c r="A121" t="s">
        <v>17</v>
      </c>
      <c r="B121">
        <v>202</v>
      </c>
      <c r="C121">
        <v>202</v>
      </c>
      <c r="D121" s="2">
        <v>0.37</v>
      </c>
      <c r="E121" s="3">
        <v>6E-52</v>
      </c>
      <c r="F121">
        <v>48.64</v>
      </c>
      <c r="G121" t="str">
        <f>HYPERLINK("https://www.ncbi.nlm.nih.gov/nucleotide/CP015461.1?report=genbank&amp;log$=nucltop&amp;blast_rank=16&amp;RID=29VF41H6016","CP015461.1")</f>
        <v>CP015461.1</v>
      </c>
    </row>
    <row r="122" spans="1:7" x14ac:dyDescent="0.35">
      <c r="A122" s="4" t="s">
        <v>119</v>
      </c>
      <c r="B122" s="4">
        <v>190</v>
      </c>
      <c r="C122" s="4">
        <v>190</v>
      </c>
      <c r="D122" s="5">
        <v>0.41</v>
      </c>
      <c r="E122" s="6">
        <v>4.9999999999999999E-48</v>
      </c>
      <c r="F122" s="4">
        <v>47.93</v>
      </c>
      <c r="G122" s="4" t="str">
        <f>HYPERLINK("https://www.ncbi.nlm.nih.gov/nucleotide/XM_027763465.1?report=genbank&amp;log$=nucltop&amp;blast_rank=17&amp;RID=29VF41H6016","XM_027763465.1")</f>
        <v>XM_027763465.1</v>
      </c>
    </row>
    <row r="123" spans="1:7" x14ac:dyDescent="0.35">
      <c r="A123" t="s">
        <v>110</v>
      </c>
      <c r="B123">
        <v>214</v>
      </c>
      <c r="C123">
        <v>214</v>
      </c>
      <c r="D123" s="2">
        <v>0.5</v>
      </c>
      <c r="E123" s="3">
        <v>6.0000000000000002E-62</v>
      </c>
      <c r="F123">
        <v>47.19</v>
      </c>
      <c r="G123" t="str">
        <f>HYPERLINK("https://www.ncbi.nlm.nih.gov/nucleotide/XM_003033916.1?report=genbank&amp;log$=nucltop&amp;blast_rank=18&amp;RID=29VF41H6016","XM_003033916.1")</f>
        <v>XM_003033916.1</v>
      </c>
    </row>
    <row r="124" spans="1:7" x14ac:dyDescent="0.35">
      <c r="A124" t="s">
        <v>18</v>
      </c>
      <c r="B124">
        <v>202</v>
      </c>
      <c r="C124">
        <v>202</v>
      </c>
      <c r="D124" s="2">
        <v>0.45</v>
      </c>
      <c r="E124" s="3">
        <v>7.0000000000000001E-52</v>
      </c>
      <c r="F124">
        <v>44.44</v>
      </c>
      <c r="G124" t="str">
        <f>HYPERLINK("https://www.ncbi.nlm.nih.gov/nucleotide/CP015474.1?report=genbank&amp;log$=nucltop&amp;blast_rank=19&amp;RID=29VF41H6016","CP015474.1")</f>
        <v>CP015474.1</v>
      </c>
    </row>
    <row r="125" spans="1:7" x14ac:dyDescent="0.35">
      <c r="A125" t="s">
        <v>16</v>
      </c>
      <c r="B125">
        <v>202</v>
      </c>
      <c r="C125">
        <v>202</v>
      </c>
      <c r="D125" s="2">
        <v>0.45</v>
      </c>
      <c r="E125" s="3">
        <v>7.0000000000000001E-52</v>
      </c>
      <c r="F125">
        <v>44.44</v>
      </c>
      <c r="G125" t="str">
        <f>HYPERLINK("https://www.ncbi.nlm.nih.gov/nucleotide/CP039877.1?report=genbank&amp;log$=nucltop&amp;blast_rank=20&amp;RID=29VF41H6016","CP039877.1")</f>
        <v>CP039877.1</v>
      </c>
    </row>
    <row r="126" spans="1:7" x14ac:dyDescent="0.35">
      <c r="A126" t="s">
        <v>121</v>
      </c>
      <c r="B126">
        <v>160</v>
      </c>
      <c r="C126">
        <v>160</v>
      </c>
      <c r="D126" s="2">
        <v>0.33</v>
      </c>
      <c r="E126" s="3">
        <v>6.9999999999999999E-43</v>
      </c>
      <c r="F126">
        <v>43.6</v>
      </c>
      <c r="G126" t="str">
        <f>HYPERLINK("https://www.ncbi.nlm.nih.gov/nucleotide/XM_007263292.1?report=genbank&amp;log$=nucltop&amp;blast_rank=21&amp;RID=29VF41H6016","XM_007263292.1")</f>
        <v>XM_007263292.1</v>
      </c>
    </row>
    <row r="127" spans="1:7" x14ac:dyDescent="0.35">
      <c r="A127" t="s">
        <v>125</v>
      </c>
      <c r="B127">
        <v>100</v>
      </c>
      <c r="C127">
        <v>100</v>
      </c>
      <c r="D127" s="2">
        <v>0.24</v>
      </c>
      <c r="E127" s="3">
        <v>4.9999999999999997E-21</v>
      </c>
      <c r="F127">
        <v>41.6</v>
      </c>
      <c r="G127" t="str">
        <f>HYPERLINK("https://www.ncbi.nlm.nih.gov/nucleotide/XM_019169940.1?report=genbank&amp;log$=nucltop&amp;blast_rank=22&amp;RID=29VF41H6016","XM_019169940.1")</f>
        <v>XM_019169940.1</v>
      </c>
    </row>
    <row r="128" spans="1:7" x14ac:dyDescent="0.35">
      <c r="A128" t="s">
        <v>130</v>
      </c>
      <c r="B128">
        <v>107</v>
      </c>
      <c r="C128">
        <v>107</v>
      </c>
      <c r="D128" s="2">
        <v>0.25</v>
      </c>
      <c r="E128" s="3">
        <v>1.9999999999999999E-23</v>
      </c>
      <c r="F128">
        <v>41.48</v>
      </c>
      <c r="G128" t="str">
        <f>HYPERLINK("https://www.ncbi.nlm.nih.gov/nucleotide/XM_018412799.1?report=genbank&amp;log$=nucltop&amp;blast_rank=23&amp;RID=29VF41H6016","XM_018412799.1")</f>
        <v>XM_018412799.1</v>
      </c>
    </row>
    <row r="129" spans="1:7" x14ac:dyDescent="0.35">
      <c r="A129" t="s">
        <v>128</v>
      </c>
      <c r="B129">
        <v>117</v>
      </c>
      <c r="C129">
        <v>117</v>
      </c>
      <c r="D129" s="2">
        <v>0.25</v>
      </c>
      <c r="E129" s="3">
        <v>4.9999999999999998E-24</v>
      </c>
      <c r="F129">
        <v>41.26</v>
      </c>
      <c r="G129" t="str">
        <f>HYPERLINK("https://www.ncbi.nlm.nih.gov/nucleotide/XM_006958724.1?report=genbank&amp;log$=nucltop&amp;blast_rank=24&amp;RID=29VF41H6016","XM_006958724.1")</f>
        <v>XM_006958724.1</v>
      </c>
    </row>
    <row r="130" spans="1:7" x14ac:dyDescent="0.35">
      <c r="A130" t="s">
        <v>131</v>
      </c>
      <c r="B130">
        <v>116</v>
      </c>
      <c r="C130">
        <v>116</v>
      </c>
      <c r="D130" s="2">
        <v>0.25</v>
      </c>
      <c r="E130" s="3">
        <v>5.9999999999999999E-24</v>
      </c>
      <c r="F130">
        <v>41.22</v>
      </c>
      <c r="G130" t="str">
        <f>HYPERLINK("https://www.ncbi.nlm.nih.gov/nucleotide/XM_025316520.1?report=genbank&amp;log$=nucltop&amp;blast_rank=25&amp;RID=29VF41H6016","XM_025316520.1")</f>
        <v>XM_025316520.1</v>
      </c>
    </row>
    <row r="131" spans="1:7" x14ac:dyDescent="0.35">
      <c r="A131" t="s">
        <v>123</v>
      </c>
      <c r="B131">
        <v>125</v>
      </c>
      <c r="C131">
        <v>125</v>
      </c>
      <c r="D131" s="2">
        <v>0.24</v>
      </c>
      <c r="E131" s="3">
        <v>2.0000000000000001E-26</v>
      </c>
      <c r="F131">
        <v>41.1</v>
      </c>
      <c r="G131" t="str">
        <f>HYPERLINK("https://www.ncbi.nlm.nih.gov/nucleotide/XM_025744195.1?report=genbank&amp;log$=nucltop&amp;blast_rank=26&amp;RID=29VF41H6016","XM_025744195.1")</f>
        <v>XM_025744195.1</v>
      </c>
    </row>
    <row r="132" spans="1:7" x14ac:dyDescent="0.35">
      <c r="A132" t="s">
        <v>120</v>
      </c>
      <c r="B132">
        <v>206</v>
      </c>
      <c r="C132">
        <v>206</v>
      </c>
      <c r="D132" s="2">
        <v>0.48</v>
      </c>
      <c r="E132" s="3">
        <v>5.9999999999999998E-56</v>
      </c>
      <c r="F132">
        <v>40.89</v>
      </c>
      <c r="G132" t="str">
        <f>HYPERLINK("https://www.ncbi.nlm.nih.gov/nucleotide/XM_012325304.1?report=genbank&amp;log$=nucltop&amp;blast_rank=27&amp;RID=29VF41H6016","XM_012325304.1")</f>
        <v>XM_012325304.1</v>
      </c>
    </row>
    <row r="133" spans="1:7" x14ac:dyDescent="0.35">
      <c r="A133" t="s">
        <v>126</v>
      </c>
      <c r="B133">
        <v>138</v>
      </c>
      <c r="C133">
        <v>138</v>
      </c>
      <c r="D133" s="2">
        <v>0.28000000000000003</v>
      </c>
      <c r="E133" s="3">
        <v>1.0000000000000001E-30</v>
      </c>
      <c r="F133">
        <v>40.590000000000003</v>
      </c>
      <c r="G133" t="str">
        <f>HYPERLINK("https://www.ncbi.nlm.nih.gov/nucleotide/XM_007769767.1?report=genbank&amp;log$=nucltop&amp;blast_rank=28&amp;RID=29VF41H6016","XM_007769767.1")</f>
        <v>XM_007769767.1</v>
      </c>
    </row>
    <row r="134" spans="1:7" x14ac:dyDescent="0.35">
      <c r="A134" t="s">
        <v>126</v>
      </c>
      <c r="B134">
        <v>164</v>
      </c>
      <c r="C134">
        <v>164</v>
      </c>
      <c r="D134" s="2">
        <v>0.49</v>
      </c>
      <c r="E134" s="3">
        <v>1.9999999999999999E-39</v>
      </c>
      <c r="F134">
        <v>40.39</v>
      </c>
      <c r="G134" t="str">
        <f>HYPERLINK("https://www.ncbi.nlm.nih.gov/nucleotide/XM_007767799.1?report=genbank&amp;log$=nucltop&amp;blast_rank=29&amp;RID=29VF41H6016","XM_007767799.1")</f>
        <v>XM_007767799.1</v>
      </c>
    </row>
    <row r="135" spans="1:7" x14ac:dyDescent="0.35">
      <c r="A135" t="s">
        <v>129</v>
      </c>
      <c r="B135">
        <v>112</v>
      </c>
      <c r="C135">
        <v>112</v>
      </c>
      <c r="D135" s="2">
        <v>0.28999999999999998</v>
      </c>
      <c r="E135" s="3">
        <v>4.0000000000000002E-22</v>
      </c>
      <c r="F135">
        <v>40.380000000000003</v>
      </c>
      <c r="G135" t="str">
        <f>HYPERLINK("https://www.ncbi.nlm.nih.gov/nucleotide/XM_001912109.1?report=genbank&amp;log$=nucltop&amp;blast_rank=30&amp;RID=29VF41H6016","XM_001912109.1")</f>
        <v>XM_001912109.1</v>
      </c>
    </row>
    <row r="136" spans="1:7" x14ac:dyDescent="0.35">
      <c r="A136" t="s">
        <v>132</v>
      </c>
      <c r="B136">
        <v>115</v>
      </c>
      <c r="C136">
        <v>115</v>
      </c>
      <c r="D136" s="2">
        <v>0.25</v>
      </c>
      <c r="E136" s="3">
        <v>1.9999999999999999E-23</v>
      </c>
      <c r="F136">
        <v>40.270000000000003</v>
      </c>
      <c r="G136" t="str">
        <f>HYPERLINK("https://www.ncbi.nlm.nih.gov/nucleotide/XM_009267583.1?report=genbank&amp;log$=nucltop&amp;blast_rank=31&amp;RID=29VF41H6016","XM_009267583.1")</f>
        <v>XM_009267583.1</v>
      </c>
    </row>
    <row r="137" spans="1:7" x14ac:dyDescent="0.35">
      <c r="A137" s="4" t="s">
        <v>127</v>
      </c>
      <c r="B137" s="4">
        <v>120</v>
      </c>
      <c r="C137" s="4">
        <v>120</v>
      </c>
      <c r="D137" s="5">
        <v>0.26</v>
      </c>
      <c r="E137" s="6">
        <v>9.9999999999999992E-25</v>
      </c>
      <c r="F137" s="4">
        <v>39.22</v>
      </c>
      <c r="G137" s="4" t="str">
        <f>HYPERLINK("https://www.ncbi.nlm.nih.gov/nucleotide/XM_037363786.1?report=genbank&amp;log$=nucltop&amp;blast_rank=32&amp;RID=29VF41H6016","XM_037363786.1")</f>
        <v>XM_037363786.1</v>
      </c>
    </row>
    <row r="138" spans="1:7" x14ac:dyDescent="0.35">
      <c r="A138" t="s">
        <v>135</v>
      </c>
      <c r="B138">
        <v>105</v>
      </c>
      <c r="C138">
        <v>105</v>
      </c>
      <c r="D138" s="2">
        <v>0.28000000000000003</v>
      </c>
      <c r="E138" s="3">
        <v>9.9999999999999998E-20</v>
      </c>
      <c r="F138">
        <v>39.04</v>
      </c>
      <c r="G138" t="str">
        <f>HYPERLINK("https://www.ncbi.nlm.nih.gov/nucleotide/XM_007731990.1?report=genbank&amp;log$=nucltop&amp;blast_rank=33&amp;RID=29VF41H6016","XM_007731990.1")</f>
        <v>XM_007731990.1</v>
      </c>
    </row>
    <row r="139" spans="1:7" x14ac:dyDescent="0.35">
      <c r="A139" t="s">
        <v>134</v>
      </c>
      <c r="B139">
        <v>102</v>
      </c>
      <c r="C139">
        <v>102</v>
      </c>
      <c r="D139" s="2">
        <v>0.26</v>
      </c>
      <c r="E139" s="3">
        <v>1.0000000000000001E-18</v>
      </c>
      <c r="F139">
        <v>38.97</v>
      </c>
      <c r="G139" t="str">
        <f>HYPERLINK("https://www.ncbi.nlm.nih.gov/nucleotide/XM_035462003.1?report=genbank&amp;log$=nucltop&amp;blast_rank=34&amp;RID=29VF41H6016","XM_035462003.1")</f>
        <v>XM_035462003.1</v>
      </c>
    </row>
    <row r="140" spans="1:7" x14ac:dyDescent="0.35">
      <c r="A140" t="s">
        <v>143</v>
      </c>
      <c r="B140">
        <v>105</v>
      </c>
      <c r="C140">
        <v>105</v>
      </c>
      <c r="D140" s="2">
        <v>0.27</v>
      </c>
      <c r="E140" s="3">
        <v>2E-19</v>
      </c>
      <c r="F140">
        <v>38.729999999999997</v>
      </c>
      <c r="G140" t="str">
        <f>HYPERLINK("https://www.ncbi.nlm.nih.gov/nucleotide/XM_031128085.1?report=genbank&amp;log$=nucltop&amp;blast_rank=35&amp;RID=29VF41H6016","XM_031128085.1")</f>
        <v>XM_031128085.1</v>
      </c>
    </row>
    <row r="141" spans="1:7" x14ac:dyDescent="0.35">
      <c r="A141" t="s">
        <v>144</v>
      </c>
      <c r="B141">
        <v>103</v>
      </c>
      <c r="C141">
        <v>103</v>
      </c>
      <c r="D141" s="2">
        <v>0.27</v>
      </c>
      <c r="E141" s="3">
        <v>2.9999999999999999E-19</v>
      </c>
      <c r="F141">
        <v>38.729999999999997</v>
      </c>
      <c r="G141" t="str">
        <f>HYPERLINK("https://www.ncbi.nlm.nih.gov/nucleotide/XM_029895118.1?report=genbank&amp;log$=nucltop&amp;blast_rank=36&amp;RID=29VF41H6016","XM_029895118.1")</f>
        <v>XM_029895118.1</v>
      </c>
    </row>
    <row r="142" spans="1:7" x14ac:dyDescent="0.35">
      <c r="A142" t="s">
        <v>145</v>
      </c>
      <c r="B142">
        <v>103</v>
      </c>
      <c r="C142">
        <v>103</v>
      </c>
      <c r="D142" s="2">
        <v>0.27</v>
      </c>
      <c r="E142" s="3">
        <v>3.9999999999999999E-19</v>
      </c>
      <c r="F142">
        <v>38.729999999999997</v>
      </c>
      <c r="G142" t="str">
        <f>HYPERLINK("https://www.ncbi.nlm.nih.gov/nucleotide/XM_003717725.1?report=genbank&amp;log$=nucltop&amp;blast_rank=37&amp;RID=29VF41H6016","XM_003717725.1")</f>
        <v>XM_003717725.1</v>
      </c>
    </row>
    <row r="143" spans="1:7" x14ac:dyDescent="0.35">
      <c r="A143" t="s">
        <v>146</v>
      </c>
      <c r="B143">
        <v>106</v>
      </c>
      <c r="C143">
        <v>106</v>
      </c>
      <c r="D143" s="2">
        <v>0.26</v>
      </c>
      <c r="E143" s="3">
        <v>4.9999999999999999E-20</v>
      </c>
      <c r="F143">
        <v>38.69</v>
      </c>
      <c r="G143" t="str">
        <f>HYPERLINK("https://www.ncbi.nlm.nih.gov/nucleotide/XM_016394547.1?report=genbank&amp;log$=nucltop&amp;blast_rank=38&amp;RID=29VF41H6016","XM_016394547.1")</f>
        <v>XM_016394547.1</v>
      </c>
    </row>
    <row r="144" spans="1:7" x14ac:dyDescent="0.35">
      <c r="A144" t="s">
        <v>147</v>
      </c>
      <c r="B144">
        <v>103</v>
      </c>
      <c r="C144">
        <v>103</v>
      </c>
      <c r="D144" s="2">
        <v>0.26</v>
      </c>
      <c r="E144" s="3">
        <v>2.9999999999999999E-19</v>
      </c>
      <c r="F144">
        <v>38.69</v>
      </c>
      <c r="G144" t="str">
        <f>HYPERLINK("https://www.ncbi.nlm.nih.gov/nucleotide/XM_007744248.1?report=genbank&amp;log$=nucltop&amp;blast_rank=39&amp;RID=29VF41H6016","XM_007744248.1")</f>
        <v>XM_007744248.1</v>
      </c>
    </row>
    <row r="145" spans="1:7" x14ac:dyDescent="0.35">
      <c r="A145" t="s">
        <v>149</v>
      </c>
      <c r="B145">
        <v>99.4</v>
      </c>
      <c r="C145">
        <v>99.4</v>
      </c>
      <c r="D145" s="2">
        <v>0.26</v>
      </c>
      <c r="E145" s="3">
        <v>2.9999999999999999E-19</v>
      </c>
      <c r="F145">
        <v>38.69</v>
      </c>
      <c r="G145" t="str">
        <f>HYPERLINK("https://www.ncbi.nlm.nih.gov/nucleotide/XM_033675412.1?report=genbank&amp;log$=nucltop&amp;blast_rank=40&amp;RID=29VF41H6016","XM_033675412.1")</f>
        <v>XM_033675412.1</v>
      </c>
    </row>
    <row r="146" spans="1:7" x14ac:dyDescent="0.35">
      <c r="A146" t="s">
        <v>148</v>
      </c>
      <c r="B146">
        <v>103</v>
      </c>
      <c r="C146">
        <v>103</v>
      </c>
      <c r="D146" s="2">
        <v>0.26</v>
      </c>
      <c r="E146" s="3">
        <v>3.9999999999999999E-19</v>
      </c>
      <c r="F146">
        <v>38.69</v>
      </c>
      <c r="G146" t="str">
        <f>HYPERLINK("https://www.ncbi.nlm.nih.gov/nucleotide/XM_016767487.1?report=genbank&amp;log$=nucltop&amp;blast_rank=41&amp;RID=29VF41H6016","XM_016767487.1")</f>
        <v>XM_016767487.1</v>
      </c>
    </row>
    <row r="147" spans="1:7" x14ac:dyDescent="0.35">
      <c r="A147" t="s">
        <v>211</v>
      </c>
      <c r="B147">
        <v>101</v>
      </c>
      <c r="C147">
        <v>101</v>
      </c>
      <c r="D147" s="2">
        <v>0.31</v>
      </c>
      <c r="E147" s="3">
        <v>2.0000000000000001E-18</v>
      </c>
      <c r="F147">
        <v>38.65</v>
      </c>
      <c r="G147" t="str">
        <f>HYPERLINK("https://www.ncbi.nlm.nih.gov/nucleotide/XM_014087792.1?report=genbank&amp;log$=nucltop&amp;blast_rank=42&amp;RID=29VF41H6016","XM_014087792.1")</f>
        <v>XM_014087792.1</v>
      </c>
    </row>
    <row r="148" spans="1:7" x14ac:dyDescent="0.35">
      <c r="A148" t="s">
        <v>153</v>
      </c>
      <c r="B148">
        <v>120</v>
      </c>
      <c r="C148">
        <v>120</v>
      </c>
      <c r="D148" s="2">
        <v>0.25</v>
      </c>
      <c r="E148" s="3">
        <v>1.9999999999999998E-24</v>
      </c>
      <c r="F148">
        <v>38.56</v>
      </c>
      <c r="G148" t="str">
        <f>HYPERLINK("https://www.ncbi.nlm.nih.gov/nucleotide/LT795076.1?report=genbank&amp;log$=nucltop&amp;blast_rank=43&amp;RID=29VF41H6016","LT795076.1")</f>
        <v>LT795076.1</v>
      </c>
    </row>
    <row r="149" spans="1:7" x14ac:dyDescent="0.35">
      <c r="A149" t="s">
        <v>154</v>
      </c>
      <c r="B149">
        <v>120</v>
      </c>
      <c r="C149">
        <v>120</v>
      </c>
      <c r="D149" s="2">
        <v>0.25</v>
      </c>
      <c r="E149" s="3">
        <v>3E-24</v>
      </c>
      <c r="F149">
        <v>38.56</v>
      </c>
      <c r="G149" t="str">
        <f>HYPERLINK("https://www.ncbi.nlm.nih.gov/nucleotide/FQ311445.1?report=genbank&amp;log$=nucltop&amp;blast_rank=44&amp;RID=29VF41H6016","FQ311445.1")</f>
        <v>FQ311445.1</v>
      </c>
    </row>
    <row r="150" spans="1:7" x14ac:dyDescent="0.35">
      <c r="A150" t="s">
        <v>141</v>
      </c>
      <c r="B150">
        <v>108</v>
      </c>
      <c r="C150">
        <v>108</v>
      </c>
      <c r="D150" s="2">
        <v>0.32</v>
      </c>
      <c r="E150" s="3">
        <v>9.9999999999999995E-21</v>
      </c>
      <c r="F150">
        <v>38.24</v>
      </c>
      <c r="G150" t="str">
        <f>HYPERLINK("https://www.ncbi.nlm.nih.gov/nucleotide/XM_001224600.1?report=genbank&amp;log$=nucltop&amp;blast_rank=45&amp;RID=29VF41H6016","XM_001224600.1")</f>
        <v>XM_001224600.1</v>
      </c>
    </row>
    <row r="151" spans="1:7" x14ac:dyDescent="0.35">
      <c r="A151" t="s">
        <v>152</v>
      </c>
      <c r="B151">
        <v>103</v>
      </c>
      <c r="C151">
        <v>103</v>
      </c>
      <c r="D151" s="2">
        <v>0.27</v>
      </c>
      <c r="E151" s="3">
        <v>5.0000000000000004E-19</v>
      </c>
      <c r="F151">
        <v>38.130000000000003</v>
      </c>
      <c r="G151" t="str">
        <f>HYPERLINK("https://www.ncbi.nlm.nih.gov/nucleotide/XM_013466482.1?report=genbank&amp;log$=nucltop&amp;blast_rank=46&amp;RID=29VF41H6016","XM_013466482.1")</f>
        <v>XM_013466482.1</v>
      </c>
    </row>
    <row r="152" spans="1:7" x14ac:dyDescent="0.35">
      <c r="A152" t="s">
        <v>138</v>
      </c>
      <c r="B152">
        <v>104</v>
      </c>
      <c r="C152">
        <v>104</v>
      </c>
      <c r="D152" s="2">
        <v>0.26</v>
      </c>
      <c r="E152" s="3">
        <v>2E-19</v>
      </c>
      <c r="F152">
        <v>37.96</v>
      </c>
      <c r="G152" t="str">
        <f>HYPERLINK("https://www.ncbi.nlm.nih.gov/nucleotide/XM_018833109.1?report=genbank&amp;log$=nucltop&amp;blast_rank=47&amp;RID=29VF41H6016","XM_018833109.1")</f>
        <v>XM_018833109.1</v>
      </c>
    </row>
    <row r="153" spans="1:7" x14ac:dyDescent="0.35">
      <c r="A153" t="s">
        <v>136</v>
      </c>
      <c r="B153">
        <v>118</v>
      </c>
      <c r="C153">
        <v>118</v>
      </c>
      <c r="D153" s="2">
        <v>0.25</v>
      </c>
      <c r="E153" s="3">
        <v>3E-24</v>
      </c>
      <c r="F153">
        <v>37.74</v>
      </c>
      <c r="G153" t="str">
        <f>HYPERLINK("https://www.ncbi.nlm.nih.gov/nucleotide/XM_024479541.1?report=genbank&amp;log$=nucltop&amp;blast_rank=48&amp;RID=29VF41H6016","XM_024479541.1")</f>
        <v>XM_024479541.1</v>
      </c>
    </row>
    <row r="154" spans="1:7" x14ac:dyDescent="0.35">
      <c r="A154" t="s">
        <v>157</v>
      </c>
      <c r="B154">
        <v>114</v>
      </c>
      <c r="C154">
        <v>114</v>
      </c>
      <c r="D154" s="2">
        <v>0.26</v>
      </c>
      <c r="E154" s="3">
        <v>1E-22</v>
      </c>
      <c r="F154">
        <v>37.74</v>
      </c>
      <c r="G154" t="str">
        <f>HYPERLINK("https://www.ncbi.nlm.nih.gov/nucleotide/XM_006460100.1?report=genbank&amp;log$=nucltop&amp;blast_rank=49&amp;RID=29VF41H6016","XM_006460100.1")</f>
        <v>XM_006460100.1</v>
      </c>
    </row>
    <row r="155" spans="1:7" x14ac:dyDescent="0.35">
      <c r="A155" t="s">
        <v>158</v>
      </c>
      <c r="B155">
        <v>113</v>
      </c>
      <c r="C155">
        <v>113</v>
      </c>
      <c r="D155" s="2">
        <v>0.26</v>
      </c>
      <c r="E155" s="3">
        <v>2.0000000000000001E-22</v>
      </c>
      <c r="F155">
        <v>37.74</v>
      </c>
      <c r="G155" t="str">
        <f>HYPERLINK("https://www.ncbi.nlm.nih.gov/nucleotide/XM_007329370.1?report=genbank&amp;log$=nucltop&amp;blast_rank=50&amp;RID=29VF41H6016","XM_007329370.1")</f>
        <v>XM_007329370.1</v>
      </c>
    </row>
    <row r="156" spans="1:7" x14ac:dyDescent="0.35">
      <c r="A156" t="s">
        <v>139</v>
      </c>
      <c r="B156">
        <v>102</v>
      </c>
      <c r="C156">
        <v>102</v>
      </c>
      <c r="D156" s="2">
        <v>0.26</v>
      </c>
      <c r="E156" s="3">
        <v>1.0000000000000001E-18</v>
      </c>
      <c r="F156">
        <v>37.68</v>
      </c>
      <c r="G156" t="str">
        <f>HYPERLINK("https://www.ncbi.nlm.nih.gov/nucleotide/XM_016364210.1?report=genbank&amp;log$=nucltop&amp;blast_rank=51&amp;RID=29VF41H6016","XM_016364210.1")</f>
        <v>XM_016364210.1</v>
      </c>
    </row>
    <row r="157" spans="1:7" x14ac:dyDescent="0.35">
      <c r="A157" t="s">
        <v>140</v>
      </c>
      <c r="B157">
        <v>114</v>
      </c>
      <c r="C157">
        <v>114</v>
      </c>
      <c r="D157" s="2">
        <v>0.26</v>
      </c>
      <c r="E157" s="3">
        <v>6.9999999999999993E-24</v>
      </c>
      <c r="F157">
        <v>37.659999999999997</v>
      </c>
      <c r="G157" t="str">
        <f>HYPERLINK("https://www.ncbi.nlm.nih.gov/nucleotide/XM_007407307.1?report=genbank&amp;log$=nucltop&amp;blast_rank=52&amp;RID=29VF41H6016","XM_007407307.1")</f>
        <v>XM_007407307.1</v>
      </c>
    </row>
    <row r="158" spans="1:7" x14ac:dyDescent="0.35">
      <c r="A158" t="s">
        <v>150</v>
      </c>
      <c r="B158">
        <v>105</v>
      </c>
      <c r="C158">
        <v>105</v>
      </c>
      <c r="D158" s="2">
        <v>0.32</v>
      </c>
      <c r="E158" s="3">
        <v>9.9999999999999998E-20</v>
      </c>
      <c r="F158">
        <v>37.65</v>
      </c>
      <c r="G158" t="str">
        <f>HYPERLINK("https://www.ncbi.nlm.nih.gov/nucleotide/XM_033687745.1?report=genbank&amp;log$=nucltop&amp;blast_rank=53&amp;RID=29VF41H6016","XM_033687745.1")</f>
        <v>XM_033687745.1</v>
      </c>
    </row>
    <row r="159" spans="1:7" x14ac:dyDescent="0.35">
      <c r="A159" t="s">
        <v>162</v>
      </c>
      <c r="B159">
        <v>103</v>
      </c>
      <c r="C159">
        <v>103</v>
      </c>
      <c r="D159" s="2">
        <v>0.26</v>
      </c>
      <c r="E159" s="3">
        <v>3.9999999999999999E-19</v>
      </c>
      <c r="F159">
        <v>37.5</v>
      </c>
      <c r="G159" t="str">
        <f>HYPERLINK("https://www.ncbi.nlm.nih.gov/nucleotide/XM_033735511.1?report=genbank&amp;log$=nucltop&amp;blast_rank=54&amp;RID=29VF41H6016","XM_033735511.1")</f>
        <v>XM_033735511.1</v>
      </c>
    </row>
    <row r="160" spans="1:7" x14ac:dyDescent="0.35">
      <c r="A160" t="s">
        <v>1278</v>
      </c>
      <c r="B160">
        <v>102</v>
      </c>
      <c r="C160">
        <v>102</v>
      </c>
      <c r="D160" s="2">
        <v>0.26</v>
      </c>
      <c r="E160" s="3">
        <v>1.0000000000000001E-18</v>
      </c>
      <c r="F160">
        <v>37.229999999999997</v>
      </c>
      <c r="G160" t="str">
        <f>HYPERLINK("https://www.ncbi.nlm.nih.gov/nucleotide/XM_006696638.1?report=genbank&amp;log$=nucltop&amp;blast_rank=55&amp;RID=29VF41H6016","XM_006696638.1")</f>
        <v>XM_006696638.1</v>
      </c>
    </row>
    <row r="161" spans="1:7" x14ac:dyDescent="0.35">
      <c r="A161" t="s">
        <v>163</v>
      </c>
      <c r="B161">
        <v>112</v>
      </c>
      <c r="C161">
        <v>112</v>
      </c>
      <c r="D161" s="2">
        <v>0.36</v>
      </c>
      <c r="E161" s="3">
        <v>2.9999999999999999E-22</v>
      </c>
      <c r="F161">
        <v>37.1</v>
      </c>
      <c r="G161" t="str">
        <f>HYPERLINK("https://www.ncbi.nlm.nih.gov/nucleotide/XM_016416769.1?report=genbank&amp;log$=nucltop&amp;blast_rank=56&amp;RID=29VF41H6016","XM_016416769.1")</f>
        <v>XM_016416769.1</v>
      </c>
    </row>
    <row r="162" spans="1:7" x14ac:dyDescent="0.35">
      <c r="A162" t="s">
        <v>167</v>
      </c>
      <c r="B162">
        <v>103</v>
      </c>
      <c r="C162">
        <v>103</v>
      </c>
      <c r="D162" s="2">
        <v>0.28999999999999998</v>
      </c>
      <c r="E162" s="3">
        <v>5.0000000000000004E-19</v>
      </c>
      <c r="F162">
        <v>37.090000000000003</v>
      </c>
      <c r="G162" t="str">
        <f>HYPERLINK("https://www.ncbi.nlm.nih.gov/nucleotide/XM_007682126.1?report=genbank&amp;log$=nucltop&amp;blast_rank=57&amp;RID=29VF41H6016","XM_007682126.1")</f>
        <v>XM_007682126.1</v>
      </c>
    </row>
    <row r="163" spans="1:7" x14ac:dyDescent="0.35">
      <c r="A163" t="s">
        <v>176</v>
      </c>
      <c r="B163">
        <v>101</v>
      </c>
      <c r="C163">
        <v>101</v>
      </c>
      <c r="D163" s="2">
        <v>0.31</v>
      </c>
      <c r="E163" s="3">
        <v>2.0000000000000001E-18</v>
      </c>
      <c r="F163">
        <v>37.04</v>
      </c>
      <c r="G163" t="str">
        <f>HYPERLINK("https://www.ncbi.nlm.nih.gov/nucleotide/XM_003008770.1?report=genbank&amp;log$=nucltop&amp;blast_rank=58&amp;RID=29VF41H6016","XM_003008770.1")</f>
        <v>XM_003008770.1</v>
      </c>
    </row>
    <row r="164" spans="1:7" x14ac:dyDescent="0.35">
      <c r="A164" t="s">
        <v>142</v>
      </c>
      <c r="B164">
        <v>106</v>
      </c>
      <c r="C164">
        <v>106</v>
      </c>
      <c r="D164" s="2">
        <v>0.28000000000000003</v>
      </c>
      <c r="E164" s="3">
        <v>4.9999999999999999E-20</v>
      </c>
      <c r="F164">
        <v>36.99</v>
      </c>
      <c r="G164" t="str">
        <f>HYPERLINK("https://www.ncbi.nlm.nih.gov/nucleotide/XM_013412294.1?report=genbank&amp;log$=nucltop&amp;blast_rank=59&amp;RID=29VF41H6016","XM_013412294.1")</f>
        <v>XM_013412294.1</v>
      </c>
    </row>
    <row r="165" spans="1:7" x14ac:dyDescent="0.35">
      <c r="A165" t="s">
        <v>175</v>
      </c>
      <c r="B165">
        <v>104</v>
      </c>
      <c r="C165">
        <v>104</v>
      </c>
      <c r="D165" s="2">
        <v>0.28000000000000003</v>
      </c>
      <c r="E165" s="3">
        <v>2E-19</v>
      </c>
      <c r="F165">
        <v>36.99</v>
      </c>
      <c r="G165" t="str">
        <f>HYPERLINK("https://www.ncbi.nlm.nih.gov/nucleotide/XM_022651297.1?report=genbank&amp;log$=nucltop&amp;blast_rank=60&amp;RID=29VF41H6016","XM_022651297.1")</f>
        <v>XM_022651297.1</v>
      </c>
    </row>
    <row r="166" spans="1:7" x14ac:dyDescent="0.35">
      <c r="A166" t="s">
        <v>155</v>
      </c>
      <c r="B166">
        <v>104</v>
      </c>
      <c r="C166">
        <v>104</v>
      </c>
      <c r="D166" s="2">
        <v>0.28000000000000003</v>
      </c>
      <c r="E166" s="3">
        <v>2E-19</v>
      </c>
      <c r="F166">
        <v>36.99</v>
      </c>
      <c r="G166" t="str">
        <f>HYPERLINK("https://www.ncbi.nlm.nih.gov/nucleotide/XM_022639301.1?report=genbank&amp;log$=nucltop&amp;blast_rank=61&amp;RID=29VF41H6016","XM_022639301.1")</f>
        <v>XM_022639301.1</v>
      </c>
    </row>
    <row r="167" spans="1:7" x14ac:dyDescent="0.35">
      <c r="A167" t="s">
        <v>156</v>
      </c>
      <c r="B167">
        <v>104</v>
      </c>
      <c r="C167">
        <v>104</v>
      </c>
      <c r="D167" s="2">
        <v>0.28000000000000003</v>
      </c>
      <c r="E167" s="3">
        <v>2E-19</v>
      </c>
      <c r="F167">
        <v>36.99</v>
      </c>
      <c r="G167" t="str">
        <f>HYPERLINK("https://www.ncbi.nlm.nih.gov/nucleotide/XM_013424715.1?report=genbank&amp;log$=nucltop&amp;blast_rank=62&amp;RID=29VF41H6016","XM_013424715.1")</f>
        <v>XM_013424715.1</v>
      </c>
    </row>
    <row r="168" spans="1:7" x14ac:dyDescent="0.35">
      <c r="A168" t="s">
        <v>113</v>
      </c>
      <c r="B168">
        <v>118</v>
      </c>
      <c r="C168">
        <v>118</v>
      </c>
      <c r="D168" s="2">
        <v>0.26</v>
      </c>
      <c r="E168" s="3">
        <v>4.9999999999999998E-24</v>
      </c>
      <c r="F168">
        <v>36.880000000000003</v>
      </c>
      <c r="G168" t="str">
        <f>HYPERLINK("https://www.ncbi.nlm.nih.gov/nucleotide/XM_008037398.1?report=genbank&amp;log$=nucltop&amp;blast_rank=63&amp;RID=29VF41H6016","XM_008037398.1")</f>
        <v>XM_008037398.1</v>
      </c>
    </row>
    <row r="169" spans="1:7" x14ac:dyDescent="0.35">
      <c r="A169" t="s">
        <v>164</v>
      </c>
      <c r="B169">
        <v>104</v>
      </c>
      <c r="C169">
        <v>104</v>
      </c>
      <c r="D169" s="2">
        <v>0.3</v>
      </c>
      <c r="E169" s="3">
        <v>2E-19</v>
      </c>
      <c r="F169">
        <v>36.880000000000003</v>
      </c>
      <c r="G169" t="str">
        <f>HYPERLINK("https://www.ncbi.nlm.nih.gov/nucleotide/XM_009161017.1?report=genbank&amp;log$=nucltop&amp;blast_rank=64&amp;RID=29VF41H6016","XM_009161017.1")</f>
        <v>XM_009161017.1</v>
      </c>
    </row>
    <row r="170" spans="1:7" x14ac:dyDescent="0.35">
      <c r="A170" t="s">
        <v>937</v>
      </c>
      <c r="B170">
        <v>102</v>
      </c>
      <c r="C170">
        <v>102</v>
      </c>
      <c r="D170" s="2">
        <v>0.27</v>
      </c>
      <c r="E170" s="3">
        <v>7.9999999999999998E-19</v>
      </c>
      <c r="F170">
        <v>36.619999999999997</v>
      </c>
      <c r="G170" t="str">
        <f>HYPERLINK("https://www.ncbi.nlm.nih.gov/nucleotide/XM_009224468.1?report=genbank&amp;log$=nucltop&amp;blast_rank=65&amp;RID=29VF41H6016","XM_009224468.1")</f>
        <v>XM_009224468.1</v>
      </c>
    </row>
    <row r="171" spans="1:7" x14ac:dyDescent="0.35">
      <c r="A171" t="s">
        <v>185</v>
      </c>
      <c r="B171">
        <v>115</v>
      </c>
      <c r="C171">
        <v>115</v>
      </c>
      <c r="D171" s="2">
        <v>0.25</v>
      </c>
      <c r="E171" s="3">
        <v>6.9999999999999999E-23</v>
      </c>
      <c r="F171">
        <v>36.590000000000003</v>
      </c>
      <c r="G171" t="str">
        <f>HYPERLINK("https://www.ncbi.nlm.nih.gov/nucleotide/XM_007882346.1?report=genbank&amp;log$=nucltop&amp;blast_rank=66&amp;RID=29VF41H6016","XM_007882346.1")</f>
        <v>XM_007882346.1</v>
      </c>
    </row>
    <row r="172" spans="1:7" x14ac:dyDescent="0.35">
      <c r="A172" t="s">
        <v>1272</v>
      </c>
      <c r="B172">
        <v>100</v>
      </c>
      <c r="C172">
        <v>100</v>
      </c>
      <c r="D172" s="2">
        <v>0.23</v>
      </c>
      <c r="E172" s="3">
        <v>9.0000000000000003E-19</v>
      </c>
      <c r="F172">
        <v>36.590000000000003</v>
      </c>
      <c r="G172" t="str">
        <f>HYPERLINK("https://www.ncbi.nlm.nih.gov/nucleotide/XM_023605331.1?report=genbank&amp;log$=nucltop&amp;blast_rank=67&amp;RID=29VF41H6016","XM_023605331.1")</f>
        <v>XM_023605331.1</v>
      </c>
    </row>
    <row r="173" spans="1:7" x14ac:dyDescent="0.35">
      <c r="A173" t="s">
        <v>137</v>
      </c>
      <c r="B173">
        <v>230</v>
      </c>
      <c r="C173">
        <v>230</v>
      </c>
      <c r="D173" s="2">
        <v>0.87</v>
      </c>
      <c r="E173" s="3">
        <v>7.9999999999999994E-65</v>
      </c>
      <c r="F173">
        <v>36.57</v>
      </c>
      <c r="G173" t="str">
        <f>HYPERLINK("https://www.ncbi.nlm.nih.gov/nucleotide/XM_001836370.2?report=genbank&amp;log$=nucltop&amp;blast_rank=68&amp;RID=29VF41H6016","XM_001836370.2")</f>
        <v>XM_001836370.2</v>
      </c>
    </row>
    <row r="174" spans="1:7" x14ac:dyDescent="0.35">
      <c r="A174" t="s">
        <v>168</v>
      </c>
      <c r="B174">
        <v>106</v>
      </c>
      <c r="C174">
        <v>106</v>
      </c>
      <c r="D174" s="2">
        <v>0.32</v>
      </c>
      <c r="E174" s="3">
        <v>3.9999999999999998E-20</v>
      </c>
      <c r="F174">
        <v>36.47</v>
      </c>
      <c r="G174" t="str">
        <f>HYPERLINK("https://www.ncbi.nlm.nih.gov/nucleotide/XM_033727516.1?report=genbank&amp;log$=nucltop&amp;blast_rank=69&amp;RID=29VF41H6016","XM_033727516.1")</f>
        <v>XM_033727516.1</v>
      </c>
    </row>
    <row r="175" spans="1:7" x14ac:dyDescent="0.35">
      <c r="A175" t="s">
        <v>808</v>
      </c>
      <c r="B175">
        <v>117</v>
      </c>
      <c r="C175">
        <v>117</v>
      </c>
      <c r="D175" s="2">
        <v>0.28999999999999998</v>
      </c>
      <c r="E175" s="3">
        <v>7.9999999999999994E-24</v>
      </c>
      <c r="F175">
        <v>36.42</v>
      </c>
      <c r="G175" t="str">
        <f>HYPERLINK("https://www.ncbi.nlm.nih.gov/nucleotide/XM_039067136.1?report=genbank&amp;log$=nucltop&amp;blast_rank=70&amp;RID=29VF41H6016","XM_039067136.1")</f>
        <v>XM_039067136.1</v>
      </c>
    </row>
    <row r="176" spans="1:7" x14ac:dyDescent="0.35">
      <c r="A176" t="s">
        <v>174</v>
      </c>
      <c r="B176">
        <v>107</v>
      </c>
      <c r="C176">
        <v>107</v>
      </c>
      <c r="D176" s="2">
        <v>0.28999999999999998</v>
      </c>
      <c r="E176" s="3">
        <v>3.0000000000000003E-20</v>
      </c>
      <c r="F176">
        <v>36.36</v>
      </c>
      <c r="G176" t="str">
        <f>HYPERLINK("https://www.ncbi.nlm.nih.gov/nucleotide/XM_016779755.1?report=genbank&amp;log$=nucltop&amp;blast_rank=71&amp;RID=29VF41H6016","XM_016779755.1")</f>
        <v>XM_016779755.1</v>
      </c>
    </row>
    <row r="177" spans="1:7" x14ac:dyDescent="0.35">
      <c r="A177" t="s">
        <v>188</v>
      </c>
      <c r="B177">
        <v>110</v>
      </c>
      <c r="C177">
        <v>110</v>
      </c>
      <c r="D177" s="2">
        <v>0.24</v>
      </c>
      <c r="E177" s="3">
        <v>2.9999999999999999E-21</v>
      </c>
      <c r="F177">
        <v>35.950000000000003</v>
      </c>
      <c r="G177" t="str">
        <f>HYPERLINK("https://www.ncbi.nlm.nih.gov/nucleotide/XM_025521795.1?report=genbank&amp;log$=nucltop&amp;blast_rank=72&amp;RID=29VF41H6016","XM_025521795.1")</f>
        <v>XM_025521795.1</v>
      </c>
    </row>
    <row r="178" spans="1:7" x14ac:dyDescent="0.35">
      <c r="A178" s="4" t="s">
        <v>1279</v>
      </c>
      <c r="B178" s="4">
        <v>100</v>
      </c>
      <c r="C178" s="4">
        <v>100</v>
      </c>
      <c r="D178" s="5">
        <v>0.32</v>
      </c>
      <c r="E178" s="6">
        <v>2.9999999999999998E-18</v>
      </c>
      <c r="F178" s="4">
        <v>35.93</v>
      </c>
      <c r="G178" s="4" t="str">
        <f>HYPERLINK("https://www.ncbi.nlm.nih.gov/nucleotide/XM_018849379.1?report=genbank&amp;log$=nucltop&amp;blast_rank=73&amp;RID=29VF41H6016","XM_018849379.1")</f>
        <v>XM_018849379.1</v>
      </c>
    </row>
    <row r="179" spans="1:7" x14ac:dyDescent="0.35">
      <c r="A179" t="s">
        <v>181</v>
      </c>
      <c r="B179">
        <v>103</v>
      </c>
      <c r="C179">
        <v>103</v>
      </c>
      <c r="D179" s="2">
        <v>0.32</v>
      </c>
      <c r="E179" s="3">
        <v>2.9999999999999999E-19</v>
      </c>
      <c r="F179">
        <v>35.71</v>
      </c>
      <c r="G179" t="str">
        <f>HYPERLINK("https://www.ncbi.nlm.nih.gov/nucleotide/XM_003857639.1?report=genbank&amp;log$=nucltop&amp;blast_rank=74&amp;RID=29VF41H6016","XM_003857639.1")</f>
        <v>XM_003857639.1</v>
      </c>
    </row>
    <row r="180" spans="1:7" x14ac:dyDescent="0.35">
      <c r="A180" t="s">
        <v>1280</v>
      </c>
      <c r="B180">
        <v>100</v>
      </c>
      <c r="C180">
        <v>100</v>
      </c>
      <c r="D180" s="2">
        <v>0.27</v>
      </c>
      <c r="E180" s="3">
        <v>2.9999999999999998E-18</v>
      </c>
      <c r="F180">
        <v>35.659999999999997</v>
      </c>
      <c r="G180" t="str">
        <f>HYPERLINK("https://www.ncbi.nlm.nih.gov/nucleotide/XM_018325735.1?report=genbank&amp;log$=nucltop&amp;blast_rank=75&amp;RID=29VF41H6016","XM_018325735.1")</f>
        <v>XM_018325735.1</v>
      </c>
    </row>
    <row r="181" spans="1:7" x14ac:dyDescent="0.35">
      <c r="A181" t="s">
        <v>182</v>
      </c>
      <c r="B181">
        <v>119</v>
      </c>
      <c r="C181">
        <v>119</v>
      </c>
      <c r="D181" s="2">
        <v>0.25</v>
      </c>
      <c r="E181" s="3">
        <v>1.9999999999999998E-24</v>
      </c>
      <c r="F181">
        <v>35.619999999999997</v>
      </c>
      <c r="G181" t="str">
        <f>HYPERLINK("https://www.ncbi.nlm.nih.gov/nucleotide/XM_029884767.1?report=genbank&amp;log$=nucltop&amp;blast_rank=76&amp;RID=29VF41H6016","XM_029884767.1")</f>
        <v>XM_029884767.1</v>
      </c>
    </row>
    <row r="182" spans="1:7" x14ac:dyDescent="0.35">
      <c r="A182" t="s">
        <v>151</v>
      </c>
      <c r="B182">
        <v>107</v>
      </c>
      <c r="C182">
        <v>107</v>
      </c>
      <c r="D182" s="2">
        <v>0.32</v>
      </c>
      <c r="E182" s="3">
        <v>3.0000000000000003E-20</v>
      </c>
      <c r="F182">
        <v>35.54</v>
      </c>
      <c r="G182" t="str">
        <f>HYPERLINK("https://www.ncbi.nlm.nih.gov/nucleotide/XM_031136412.1?report=genbank&amp;log$=nucltop&amp;blast_rank=77&amp;RID=29VF41H6016","XM_031136412.1")</f>
        <v>XM_031136412.1</v>
      </c>
    </row>
    <row r="183" spans="1:7" x14ac:dyDescent="0.35">
      <c r="A183" t="s">
        <v>183</v>
      </c>
      <c r="B183">
        <v>112</v>
      </c>
      <c r="C183">
        <v>112</v>
      </c>
      <c r="D183" s="2">
        <v>0.3</v>
      </c>
      <c r="E183" s="3">
        <v>1.9999999999999998E-24</v>
      </c>
      <c r="F183">
        <v>35.520000000000003</v>
      </c>
      <c r="G183" t="str">
        <f>HYPERLINK("https://www.ncbi.nlm.nih.gov/nucleotide/XM_016436705.1?report=genbank&amp;log$=nucltop&amp;blast_rank=78&amp;RID=29VF41H6016","XM_016436705.1")</f>
        <v>XM_016436705.1</v>
      </c>
    </row>
    <row r="184" spans="1:7" x14ac:dyDescent="0.35">
      <c r="A184" t="s">
        <v>159</v>
      </c>
      <c r="B184">
        <v>115</v>
      </c>
      <c r="C184">
        <v>115</v>
      </c>
      <c r="D184" s="2">
        <v>0.27</v>
      </c>
      <c r="E184" s="3">
        <v>5.0000000000000002E-23</v>
      </c>
      <c r="F184">
        <v>35.5</v>
      </c>
      <c r="G184" t="str">
        <f>HYPERLINK("https://www.ncbi.nlm.nih.gov/nucleotide/XM_007364265.1?report=genbank&amp;log$=nucltop&amp;blast_rank=79&amp;RID=29VF41H6016","XM_007364265.1")</f>
        <v>XM_007364265.1</v>
      </c>
    </row>
    <row r="185" spans="1:7" x14ac:dyDescent="0.35">
      <c r="A185" t="s">
        <v>120</v>
      </c>
      <c r="B185">
        <v>117</v>
      </c>
      <c r="C185">
        <v>117</v>
      </c>
      <c r="D185" s="2">
        <v>0.26</v>
      </c>
      <c r="E185" s="3">
        <v>9.9999999999999996E-24</v>
      </c>
      <c r="F185">
        <v>35.4</v>
      </c>
      <c r="G185" t="str">
        <f>HYPERLINK("https://www.ncbi.nlm.nih.gov/nucleotide/XM_012325595.1?report=genbank&amp;log$=nucltop&amp;blast_rank=80&amp;RID=29VF41H6016","XM_012325595.1")</f>
        <v>XM_012325595.1</v>
      </c>
    </row>
    <row r="186" spans="1:7" x14ac:dyDescent="0.35">
      <c r="A186" t="s">
        <v>186</v>
      </c>
      <c r="B186">
        <v>103</v>
      </c>
      <c r="C186">
        <v>103</v>
      </c>
      <c r="D186" s="2">
        <v>0.32</v>
      </c>
      <c r="E186" s="3">
        <v>5.0000000000000004E-19</v>
      </c>
      <c r="F186">
        <v>35.29</v>
      </c>
      <c r="G186" t="str">
        <f>HYPERLINK("https://www.ncbi.nlm.nih.gov/nucleotide/XM_016784392.1?report=genbank&amp;log$=nucltop&amp;blast_rank=81&amp;RID=29VF41H6016","XM_016784392.1")</f>
        <v>XM_016784392.1</v>
      </c>
    </row>
    <row r="187" spans="1:7" x14ac:dyDescent="0.35">
      <c r="A187" t="s">
        <v>180</v>
      </c>
      <c r="B187">
        <v>103</v>
      </c>
      <c r="C187">
        <v>103</v>
      </c>
      <c r="D187" s="2">
        <v>0.32</v>
      </c>
      <c r="E187" s="3">
        <v>3.9999999999999999E-19</v>
      </c>
      <c r="F187">
        <v>35.119999999999997</v>
      </c>
      <c r="G187" t="str">
        <f>HYPERLINK("https://www.ncbi.nlm.nih.gov/nucleotide/XM_016359670.1?report=genbank&amp;log$=nucltop&amp;blast_rank=82&amp;RID=29VF41H6016","XM_016359670.1")</f>
        <v>XM_016359670.1</v>
      </c>
    </row>
    <row r="188" spans="1:7" x14ac:dyDescent="0.35">
      <c r="A188" t="s">
        <v>109</v>
      </c>
      <c r="B188">
        <v>113</v>
      </c>
      <c r="C188">
        <v>113</v>
      </c>
      <c r="D188" s="2">
        <v>0.25</v>
      </c>
      <c r="E188" s="3">
        <v>2.0000000000000001E-22</v>
      </c>
      <c r="F188">
        <v>35.06</v>
      </c>
      <c r="G188" t="str">
        <f>HYPERLINK("https://www.ncbi.nlm.nih.gov/nucleotide/XM_007864340.1?report=genbank&amp;log$=nucltop&amp;blast_rank=83&amp;RID=29VF41H6016","XM_007864340.1")</f>
        <v>XM_007864340.1</v>
      </c>
    </row>
    <row r="189" spans="1:7" x14ac:dyDescent="0.35">
      <c r="A189" t="s">
        <v>187</v>
      </c>
      <c r="B189">
        <v>116</v>
      </c>
      <c r="C189">
        <v>116</v>
      </c>
      <c r="D189" s="2">
        <v>0.25</v>
      </c>
      <c r="E189" s="3">
        <v>1.9999999999999999E-23</v>
      </c>
      <c r="F189">
        <v>35.03</v>
      </c>
      <c r="G189" t="str">
        <f>HYPERLINK("https://www.ncbi.nlm.nih.gov/nucleotide/XM_027754401.1?report=genbank&amp;log$=nucltop&amp;blast_rank=84&amp;RID=29VF41H6016","XM_027754401.1")</f>
        <v>XM_027754401.1</v>
      </c>
    </row>
    <row r="190" spans="1:7" x14ac:dyDescent="0.35">
      <c r="A190" t="s">
        <v>165</v>
      </c>
      <c r="B190">
        <v>115</v>
      </c>
      <c r="C190">
        <v>115</v>
      </c>
      <c r="D190" s="2">
        <v>0.3</v>
      </c>
      <c r="E190" s="3">
        <v>3E-23</v>
      </c>
      <c r="F190">
        <v>34.619999999999997</v>
      </c>
      <c r="G190" t="str">
        <f>HYPERLINK("https://www.ncbi.nlm.nih.gov/nucleotide/XM_014798439.1?report=genbank&amp;log$=nucltop&amp;blast_rank=85&amp;RID=29VF41H6016","XM_014798439.1")</f>
        <v>XM_014798439.1</v>
      </c>
    </row>
    <row r="191" spans="1:7" x14ac:dyDescent="0.35">
      <c r="A191" t="s">
        <v>810</v>
      </c>
      <c r="B191">
        <v>114</v>
      </c>
      <c r="C191">
        <v>114</v>
      </c>
      <c r="D191" s="2">
        <v>0.25</v>
      </c>
      <c r="E191" s="3">
        <v>6.0000000000000001E-23</v>
      </c>
      <c r="F191">
        <v>34.590000000000003</v>
      </c>
      <c r="G191" t="str">
        <f>HYPERLINK("https://www.ncbi.nlm.nih.gov/nucleotide/XM_003036760.2?report=genbank&amp;log$=nucltop&amp;blast_rank=86&amp;RID=29VF41H6016","XM_003036760.2")</f>
        <v>XM_003036760.2</v>
      </c>
    </row>
    <row r="192" spans="1:7" x14ac:dyDescent="0.35">
      <c r="A192" s="4" t="s">
        <v>820</v>
      </c>
      <c r="B192" s="4">
        <v>108</v>
      </c>
      <c r="C192" s="4">
        <v>108</v>
      </c>
      <c r="D192" s="5">
        <v>0.24</v>
      </c>
      <c r="E192" s="6">
        <v>4.9999999999999997E-21</v>
      </c>
      <c r="F192" s="4">
        <v>34.42</v>
      </c>
      <c r="G192" s="4" t="str">
        <f>HYPERLINK("https://www.ncbi.nlm.nih.gov/nucleotide/XM_002911188.1?report=genbank&amp;log$=nucltop&amp;blast_rank=87&amp;RID=29VF41H6016","XM_002911188.1")</f>
        <v>XM_002911188.1</v>
      </c>
    </row>
    <row r="193" spans="1:7" x14ac:dyDescent="0.35">
      <c r="A193" t="s">
        <v>190</v>
      </c>
      <c r="B193">
        <v>121</v>
      </c>
      <c r="C193">
        <v>121</v>
      </c>
      <c r="D193" s="2">
        <v>0.3</v>
      </c>
      <c r="E193" s="3">
        <v>9.9999999999999992E-25</v>
      </c>
      <c r="F193">
        <v>34.409999999999997</v>
      </c>
      <c r="G193" t="str">
        <f>HYPERLINK("https://www.ncbi.nlm.nih.gov/nucleotide/HG529702.1?report=genbank&amp;log$=nucltop&amp;blast_rank=88&amp;RID=29VF41H6016","HG529702.1")</f>
        <v>HG529702.1</v>
      </c>
    </row>
    <row r="194" spans="1:7" x14ac:dyDescent="0.35">
      <c r="A194" t="s">
        <v>21</v>
      </c>
      <c r="B194">
        <v>121</v>
      </c>
      <c r="C194">
        <v>121</v>
      </c>
      <c r="D194" s="2">
        <v>0.32</v>
      </c>
      <c r="E194" s="3">
        <v>3.0000000000000001E-26</v>
      </c>
      <c r="F194">
        <v>34.340000000000003</v>
      </c>
      <c r="G194" t="str">
        <f>HYPERLINK("https://www.ncbi.nlm.nih.gov/nucleotide/XM_009545687.1?report=genbank&amp;log$=nucltop&amp;blast_rank=89&amp;RID=29VF41H6016","XM_009545687.1")</f>
        <v>XM_009545687.1</v>
      </c>
    </row>
    <row r="195" spans="1:7" x14ac:dyDescent="0.35">
      <c r="A195" t="s">
        <v>1281</v>
      </c>
      <c r="B195">
        <v>102</v>
      </c>
      <c r="C195">
        <v>102</v>
      </c>
      <c r="D195" s="2">
        <v>0.32</v>
      </c>
      <c r="E195" s="3">
        <v>1.0000000000000001E-18</v>
      </c>
      <c r="F195">
        <v>34.340000000000003</v>
      </c>
      <c r="G195" t="str">
        <f>HYPERLINK("https://www.ncbi.nlm.nih.gov/nucleotide/XM_038943185.1?report=genbank&amp;log$=nucltop&amp;blast_rank=90&amp;RID=29VF41H6016","XM_038943185.1")</f>
        <v>XM_038943185.1</v>
      </c>
    </row>
    <row r="196" spans="1:7" x14ac:dyDescent="0.35">
      <c r="A196" t="s">
        <v>191</v>
      </c>
      <c r="B196">
        <v>100</v>
      </c>
      <c r="C196">
        <v>100</v>
      </c>
      <c r="D196" s="2">
        <v>0.32</v>
      </c>
      <c r="E196" s="3">
        <v>2.9999999999999998E-18</v>
      </c>
      <c r="F196">
        <v>34.29</v>
      </c>
      <c r="G196" t="str">
        <f>HYPERLINK("https://www.ncbi.nlm.nih.gov/nucleotide/XM_016385123.1?report=genbank&amp;log$=nucltop&amp;blast_rank=91&amp;RID=29VF41H6016","XM_016385123.1")</f>
        <v>XM_016385123.1</v>
      </c>
    </row>
    <row r="197" spans="1:7" x14ac:dyDescent="0.35">
      <c r="A197" t="s">
        <v>1282</v>
      </c>
      <c r="B197">
        <v>102</v>
      </c>
      <c r="C197">
        <v>102</v>
      </c>
      <c r="D197" s="2">
        <v>0.42</v>
      </c>
      <c r="E197" s="3">
        <v>1.0000000000000001E-18</v>
      </c>
      <c r="F197">
        <v>34.1</v>
      </c>
      <c r="G197" t="str">
        <f>HYPERLINK("https://www.ncbi.nlm.nih.gov/nucleotide/XM_006666073.1?report=genbank&amp;log$=nucltop&amp;blast_rank=92&amp;RID=29VF41H6016","XM_006666073.1")</f>
        <v>XM_006666073.1</v>
      </c>
    </row>
    <row r="198" spans="1:7" x14ac:dyDescent="0.35">
      <c r="A198" t="s">
        <v>192</v>
      </c>
      <c r="B198">
        <v>120</v>
      </c>
      <c r="C198">
        <v>120</v>
      </c>
      <c r="D198" s="2">
        <v>0.3</v>
      </c>
      <c r="E198" s="3">
        <v>1.9999999999999998E-24</v>
      </c>
      <c r="F198">
        <v>34.07</v>
      </c>
      <c r="G198" t="str">
        <f>HYPERLINK("https://www.ncbi.nlm.nih.gov/nucleotide/LT558139.1?report=genbank&amp;log$=nucltop&amp;blast_rank=93&amp;RID=29VF41H6016","LT558139.1")</f>
        <v>LT558139.1</v>
      </c>
    </row>
    <row r="199" spans="1:7" x14ac:dyDescent="0.35">
      <c r="A199" t="s">
        <v>172</v>
      </c>
      <c r="B199">
        <v>117</v>
      </c>
      <c r="C199">
        <v>117</v>
      </c>
      <c r="D199" s="2">
        <v>0.3</v>
      </c>
      <c r="E199" s="3">
        <v>3E-23</v>
      </c>
      <c r="F199">
        <v>34.049999999999997</v>
      </c>
      <c r="G199" t="str">
        <f>HYPERLINK("https://www.ncbi.nlm.nih.gov/nucleotide/LK056654.1?report=genbank&amp;log$=nucltop&amp;blast_rank=94&amp;RID=29VF41H6016","LK056654.1")</f>
        <v>LK056654.1</v>
      </c>
    </row>
    <row r="200" spans="1:7" x14ac:dyDescent="0.35">
      <c r="A200" t="s">
        <v>173</v>
      </c>
      <c r="B200">
        <v>117</v>
      </c>
      <c r="C200">
        <v>117</v>
      </c>
      <c r="D200" s="2">
        <v>0.3</v>
      </c>
      <c r="E200" s="3">
        <v>3E-23</v>
      </c>
      <c r="F200">
        <v>34.049999999999997</v>
      </c>
      <c r="G200" t="str">
        <f>HYPERLINK("https://www.ncbi.nlm.nih.gov/nucleotide/CP010920.1?report=genbank&amp;log$=nucltop&amp;blast_rank=95&amp;RID=29VF41H6016","CP010920.1")</f>
        <v>CP010920.1</v>
      </c>
    </row>
    <row r="201" spans="1:7" x14ac:dyDescent="0.35">
      <c r="A201" t="s">
        <v>193</v>
      </c>
      <c r="B201">
        <v>96.3</v>
      </c>
      <c r="C201">
        <v>96.3</v>
      </c>
      <c r="D201" s="2">
        <v>0.25</v>
      </c>
      <c r="E201" s="3">
        <v>2.9999999999999999E-19</v>
      </c>
      <c r="F201">
        <v>33.33</v>
      </c>
      <c r="G201" t="str">
        <f>HYPERLINK("https://www.ncbi.nlm.nih.gov/nucleotide/XM_025490272.1?report=genbank&amp;log$=nucltop&amp;blast_rank=96&amp;RID=29VF41H6016","XM_025490272.1")</f>
        <v>XM_025490272.1</v>
      </c>
    </row>
    <row r="202" spans="1:7" x14ac:dyDescent="0.35">
      <c r="A202" t="s">
        <v>195</v>
      </c>
      <c r="B202">
        <v>104</v>
      </c>
      <c r="C202">
        <v>104</v>
      </c>
      <c r="D202" s="2">
        <v>0.31</v>
      </c>
      <c r="E202" s="3">
        <v>9.9999999999999998E-20</v>
      </c>
      <c r="F202">
        <v>32.93</v>
      </c>
      <c r="G202" t="str">
        <f>HYPERLINK("https://www.ncbi.nlm.nih.gov/nucleotide/XM_033708393.1?report=genbank&amp;log$=nucltop&amp;blast_rank=97&amp;RID=29VF41H6016","XM_033708393.1")</f>
        <v>XM_033708393.1</v>
      </c>
    </row>
    <row r="203" spans="1:7" x14ac:dyDescent="0.35">
      <c r="A203" t="s">
        <v>124</v>
      </c>
      <c r="B203">
        <v>122</v>
      </c>
      <c r="C203">
        <v>122</v>
      </c>
      <c r="D203" s="2">
        <v>0.48</v>
      </c>
      <c r="E203" s="3">
        <v>2.0000000000000001E-25</v>
      </c>
      <c r="F203">
        <v>32.47</v>
      </c>
      <c r="G203" t="str">
        <f>HYPERLINK("https://www.ncbi.nlm.nih.gov/nucleotide/XM_013384521.1?report=genbank&amp;log$=nucltop&amp;blast_rank=98&amp;RID=29VF41H6016","XM_013384521.1")</f>
        <v>XM_013384521.1</v>
      </c>
    </row>
    <row r="204" spans="1:7" x14ac:dyDescent="0.35">
      <c r="A204" t="s">
        <v>189</v>
      </c>
      <c r="B204">
        <v>117</v>
      </c>
      <c r="C204">
        <v>117</v>
      </c>
      <c r="D204" s="2">
        <v>0.32</v>
      </c>
      <c r="E204" s="3">
        <v>9.9999999999999996E-24</v>
      </c>
      <c r="F204">
        <v>32.43</v>
      </c>
      <c r="G204" t="str">
        <f>HYPERLINK("https://www.ncbi.nlm.nih.gov/nucleotide/XM_007407308.1?report=genbank&amp;log$=nucltop&amp;blast_rank=99&amp;RID=29VF41H6016","XM_007407308.1")</f>
        <v>XM_007407308.1</v>
      </c>
    </row>
    <row r="205" spans="1:7" x14ac:dyDescent="0.35">
      <c r="A205" t="s">
        <v>194</v>
      </c>
      <c r="B205">
        <v>107</v>
      </c>
      <c r="C205">
        <v>107</v>
      </c>
      <c r="D205" s="2">
        <v>0.36</v>
      </c>
      <c r="E205" s="3">
        <v>7.9999999999999993E-21</v>
      </c>
      <c r="F205">
        <v>31.96</v>
      </c>
      <c r="G205" t="str">
        <f>HYPERLINK("https://www.ncbi.nlm.nih.gov/nucleotide/XM_007392158.1?report=genbank&amp;log$=nucltop&amp;blast_rank=100&amp;RID=29VF41H6016","XM_007392158.1")</f>
        <v>XM_007392158.1</v>
      </c>
    </row>
    <row r="206" spans="1:7" x14ac:dyDescent="0.35">
      <c r="A206" s="1" t="s">
        <v>1389</v>
      </c>
    </row>
    <row r="207" spans="1:7" x14ac:dyDescent="0.35">
      <c r="A207" s="1" t="s">
        <v>2</v>
      </c>
      <c r="B207" s="1" t="s">
        <v>3</v>
      </c>
      <c r="C207" s="1" t="s">
        <v>4</v>
      </c>
      <c r="D207" s="1" t="s">
        <v>5</v>
      </c>
      <c r="E207" s="1" t="s">
        <v>6</v>
      </c>
      <c r="F207" s="1" t="s">
        <v>7</v>
      </c>
      <c r="G207" s="1" t="s">
        <v>8</v>
      </c>
    </row>
    <row r="208" spans="1:7" x14ac:dyDescent="0.35">
      <c r="A208" t="s">
        <v>9</v>
      </c>
      <c r="B208">
        <v>130</v>
      </c>
      <c r="C208">
        <v>333</v>
      </c>
      <c r="D208" s="2">
        <v>0.97</v>
      </c>
      <c r="E208" s="3">
        <v>5.9999999999999997E-75</v>
      </c>
      <c r="F208">
        <v>60.17</v>
      </c>
      <c r="G208" t="str">
        <f>HYPERLINK("https://www.ncbi.nlm.nih.gov/nucleotide/LR732079.1?report=genbank&amp;log$=nucltop&amp;blast_rank=1&amp;RID=29VHDPYR016","LR732079.1")</f>
        <v>LR732079.1</v>
      </c>
    </row>
    <row r="209" spans="1:7" x14ac:dyDescent="0.35">
      <c r="A209" t="s">
        <v>1283</v>
      </c>
      <c r="B209">
        <v>115</v>
      </c>
      <c r="C209">
        <v>115</v>
      </c>
      <c r="D209" s="2">
        <v>0.38</v>
      </c>
      <c r="E209" s="3">
        <v>6.0000000000000005E-29</v>
      </c>
      <c r="F209">
        <v>57.89</v>
      </c>
      <c r="G209" t="str">
        <f>HYPERLINK("https://www.ncbi.nlm.nih.gov/nucleotide/XM_036779062.1?report=genbank&amp;log$=nucltop&amp;blast_rank=2&amp;RID=29VHDPYR016","XM_036779062.1")</f>
        <v>XM_036779062.1</v>
      </c>
    </row>
    <row r="210" spans="1:7" x14ac:dyDescent="0.35">
      <c r="A210" t="s">
        <v>204</v>
      </c>
      <c r="B210">
        <v>222</v>
      </c>
      <c r="C210">
        <v>222</v>
      </c>
      <c r="D210" s="2">
        <v>0.95</v>
      </c>
      <c r="E210" s="3">
        <v>7.0000000000000001E-67</v>
      </c>
      <c r="F210">
        <v>55.23</v>
      </c>
      <c r="G210" t="str">
        <f>HYPERLINK("https://www.ncbi.nlm.nih.gov/nucleotide/XM_008041438.1?report=genbank&amp;log$=nucltop&amp;blast_rank=3&amp;RID=29VHDPYR016","XM_008041438.1")</f>
        <v>XM_008041438.1</v>
      </c>
    </row>
    <row r="211" spans="1:7" x14ac:dyDescent="0.35">
      <c r="A211" t="s">
        <v>21</v>
      </c>
      <c r="B211">
        <v>190</v>
      </c>
      <c r="C211">
        <v>190</v>
      </c>
      <c r="D211" s="2">
        <v>0.78</v>
      </c>
      <c r="E211" s="3">
        <v>1E-56</v>
      </c>
      <c r="F211">
        <v>55.1</v>
      </c>
      <c r="G211" t="str">
        <f>HYPERLINK("https://www.ncbi.nlm.nih.gov/nucleotide/XM_009546989.1?report=genbank&amp;log$=nucltop&amp;blast_rank=4&amp;RID=29VHDPYR016","XM_009546989.1")</f>
        <v>XM_009546989.1</v>
      </c>
    </row>
    <row r="212" spans="1:7" x14ac:dyDescent="0.35">
      <c r="A212" t="s">
        <v>198</v>
      </c>
      <c r="B212">
        <v>232</v>
      </c>
      <c r="C212">
        <v>232</v>
      </c>
      <c r="D212" s="2">
        <v>0.96</v>
      </c>
      <c r="E212" s="3">
        <v>6.9999999999999998E-71</v>
      </c>
      <c r="F212">
        <v>53.97</v>
      </c>
      <c r="G212" t="str">
        <f>HYPERLINK("https://www.ncbi.nlm.nih.gov/nucleotide/XM_007870715.1?report=genbank&amp;log$=nucltop&amp;blast_rank=5&amp;RID=29VHDPYR016","XM_007870715.1")</f>
        <v>XM_007870715.1</v>
      </c>
    </row>
    <row r="213" spans="1:7" x14ac:dyDescent="0.35">
      <c r="A213" t="s">
        <v>200</v>
      </c>
      <c r="B213">
        <v>233</v>
      </c>
      <c r="C213">
        <v>233</v>
      </c>
      <c r="D213" s="2">
        <v>0.91</v>
      </c>
      <c r="E213" s="3">
        <v>1.9999999999999999E-69</v>
      </c>
      <c r="F213">
        <v>51.33</v>
      </c>
      <c r="G213" t="str">
        <f>HYPERLINK("https://www.ncbi.nlm.nih.gov/nucleotide/XM_003029540.1?report=genbank&amp;log$=nucltop&amp;blast_rank=6&amp;RID=29VHDPYR016","XM_003029540.1")</f>
        <v>XM_003029540.1</v>
      </c>
    </row>
    <row r="214" spans="1:7" x14ac:dyDescent="0.35">
      <c r="A214" t="s">
        <v>205</v>
      </c>
      <c r="B214">
        <v>229</v>
      </c>
      <c r="C214">
        <v>229</v>
      </c>
      <c r="D214" s="2">
        <v>0.93</v>
      </c>
      <c r="E214" s="3">
        <v>1.9999999999999999E-69</v>
      </c>
      <c r="F214">
        <v>50.64</v>
      </c>
      <c r="G214" t="str">
        <f>HYPERLINK("https://www.ncbi.nlm.nih.gov/nucleotide/XM_007318641.1?report=genbank&amp;log$=nucltop&amp;blast_rank=7&amp;RID=29VHDPYR016","XM_007318641.1")</f>
        <v>XM_007318641.1</v>
      </c>
    </row>
    <row r="215" spans="1:7" x14ac:dyDescent="0.35">
      <c r="A215" t="s">
        <v>202</v>
      </c>
      <c r="B215">
        <v>218</v>
      </c>
      <c r="C215">
        <v>218</v>
      </c>
      <c r="D215" s="2">
        <v>0.96</v>
      </c>
      <c r="E215" s="3">
        <v>9.9999999999999998E-67</v>
      </c>
      <c r="F215">
        <v>50.62</v>
      </c>
      <c r="G215" t="str">
        <f>HYPERLINK("https://www.ncbi.nlm.nih.gov/nucleotide/XM_007389005.1?report=genbank&amp;log$=nucltop&amp;blast_rank=8&amp;RID=29VHDPYR016","XM_007389005.1")</f>
        <v>XM_007389005.1</v>
      </c>
    </row>
    <row r="216" spans="1:7" x14ac:dyDescent="0.35">
      <c r="A216" t="s">
        <v>201</v>
      </c>
      <c r="B216">
        <v>235</v>
      </c>
      <c r="C216">
        <v>235</v>
      </c>
      <c r="D216" s="2">
        <v>0.95</v>
      </c>
      <c r="E216" s="3">
        <v>3.0000000000000001E-71</v>
      </c>
      <c r="F216">
        <v>50.61</v>
      </c>
      <c r="G216" t="str">
        <f>HYPERLINK("https://www.ncbi.nlm.nih.gov/nucleotide/XM_027763129.1?report=genbank&amp;log$=nucltop&amp;blast_rank=9&amp;RID=29VHDPYR016","XM_027763129.1")</f>
        <v>XM_027763129.1</v>
      </c>
    </row>
    <row r="217" spans="1:7" x14ac:dyDescent="0.35">
      <c r="A217" t="s">
        <v>1284</v>
      </c>
      <c r="B217">
        <v>98.6</v>
      </c>
      <c r="C217">
        <v>98.6</v>
      </c>
      <c r="D217" s="2">
        <v>0.37</v>
      </c>
      <c r="E217" s="3">
        <v>2.0000000000000001E-22</v>
      </c>
      <c r="F217">
        <v>50.54</v>
      </c>
      <c r="G217" t="str">
        <f>HYPERLINK("https://www.ncbi.nlm.nih.gov/nucleotide/XM_007330254.1?report=genbank&amp;log$=nucltop&amp;blast_rank=10&amp;RID=29VHDPYR016","XM_007330254.1")</f>
        <v>XM_007330254.1</v>
      </c>
    </row>
    <row r="218" spans="1:7" x14ac:dyDescent="0.35">
      <c r="A218" t="s">
        <v>199</v>
      </c>
      <c r="B218">
        <v>232</v>
      </c>
      <c r="C218">
        <v>232</v>
      </c>
      <c r="D218" s="2">
        <v>0.94</v>
      </c>
      <c r="E218" s="3">
        <v>3.9999999999999997E-71</v>
      </c>
      <c r="F218">
        <v>49.79</v>
      </c>
      <c r="G218" t="str">
        <f>HYPERLINK("https://www.ncbi.nlm.nih.gov/nucleotide/XM_007393489.1?report=genbank&amp;log$=nucltop&amp;blast_rank=11&amp;RID=29VHDPYR016","XM_007393489.1")</f>
        <v>XM_007393489.1</v>
      </c>
    </row>
    <row r="219" spans="1:7" x14ac:dyDescent="0.35">
      <c r="A219" t="s">
        <v>120</v>
      </c>
      <c r="B219">
        <v>234</v>
      </c>
      <c r="C219">
        <v>234</v>
      </c>
      <c r="D219" s="2">
        <v>0.97</v>
      </c>
      <c r="E219" s="3">
        <v>2E-73</v>
      </c>
      <c r="F219">
        <v>49.38</v>
      </c>
      <c r="G219" t="str">
        <f>HYPERLINK("https://www.ncbi.nlm.nih.gov/nucleotide/XM_012328136.1?report=genbank&amp;log$=nucltop&amp;blast_rank=12&amp;RID=29VHDPYR016","XM_012328136.1")</f>
        <v>XM_012328136.1</v>
      </c>
    </row>
    <row r="220" spans="1:7" x14ac:dyDescent="0.35">
      <c r="A220" t="s">
        <v>206</v>
      </c>
      <c r="B220">
        <v>213</v>
      </c>
      <c r="C220">
        <v>213</v>
      </c>
      <c r="D220" s="2">
        <v>0.95</v>
      </c>
      <c r="E220" s="3">
        <v>1.0000000000000001E-63</v>
      </c>
      <c r="F220">
        <v>49.16</v>
      </c>
      <c r="G220" t="str">
        <f>HYPERLINK("https://www.ncbi.nlm.nih.gov/nucleotide/XM_024477854.1?report=genbank&amp;log$=nucltop&amp;blast_rank=13&amp;RID=29VHDPYR016","XM_024477854.1")</f>
        <v>XM_024477854.1</v>
      </c>
    </row>
    <row r="221" spans="1:7" x14ac:dyDescent="0.35">
      <c r="A221" t="s">
        <v>207</v>
      </c>
      <c r="B221">
        <v>220</v>
      </c>
      <c r="C221">
        <v>220</v>
      </c>
      <c r="D221" s="2">
        <v>0.93</v>
      </c>
      <c r="E221" s="3">
        <v>6E-68</v>
      </c>
      <c r="F221">
        <v>48.29</v>
      </c>
      <c r="G221" t="str">
        <f>HYPERLINK("https://www.ncbi.nlm.nih.gov/nucleotide/XM_006459159.1?report=genbank&amp;log$=nucltop&amp;blast_rank=14&amp;RID=29VHDPYR016","XM_006459159.1")</f>
        <v>XM_006459159.1</v>
      </c>
    </row>
    <row r="222" spans="1:7" x14ac:dyDescent="0.35">
      <c r="A222" t="s">
        <v>203</v>
      </c>
      <c r="B222">
        <v>211</v>
      </c>
      <c r="C222">
        <v>211</v>
      </c>
      <c r="D222" s="2">
        <v>0.97</v>
      </c>
      <c r="E222" s="3">
        <v>9.0000000000000002E-64</v>
      </c>
      <c r="F222">
        <v>47.56</v>
      </c>
      <c r="G222" t="str">
        <f>HYPERLINK("https://www.ncbi.nlm.nih.gov/nucleotide/XM_007263367.1?report=genbank&amp;log$=nucltop&amp;blast_rank=15&amp;RID=29VHDPYR016","XM_007263367.1")</f>
        <v>XM_007263367.1</v>
      </c>
    </row>
    <row r="223" spans="1:7" x14ac:dyDescent="0.35">
      <c r="A223" t="s">
        <v>208</v>
      </c>
      <c r="B223">
        <v>207</v>
      </c>
      <c r="C223">
        <v>207</v>
      </c>
      <c r="D223" s="2">
        <v>0.97</v>
      </c>
      <c r="E223" s="3">
        <v>7.0000000000000001E-63</v>
      </c>
      <c r="F223">
        <v>46.72</v>
      </c>
      <c r="G223" t="str">
        <f>HYPERLINK("https://www.ncbi.nlm.nih.gov/nucleotide/XM_037359090.1?report=genbank&amp;log$=nucltop&amp;blast_rank=16&amp;RID=29VHDPYR016","XM_037359090.1")</f>
        <v>XM_037359090.1</v>
      </c>
    </row>
    <row r="224" spans="1:7" x14ac:dyDescent="0.35">
      <c r="A224" t="s">
        <v>217</v>
      </c>
      <c r="B224">
        <v>218</v>
      </c>
      <c r="C224">
        <v>218</v>
      </c>
      <c r="D224" s="2">
        <v>0.93</v>
      </c>
      <c r="E224" s="3">
        <v>7.0000000000000001E-67</v>
      </c>
      <c r="F224">
        <v>46.55</v>
      </c>
      <c r="G224" t="str">
        <f>HYPERLINK("https://www.ncbi.nlm.nih.gov/nucleotide/XM_007362271.1?report=genbank&amp;log$=nucltop&amp;blast_rank=17&amp;RID=29VHDPYR016","XM_007362271.1")</f>
        <v>XM_007362271.1</v>
      </c>
    </row>
    <row r="225" spans="1:7" x14ac:dyDescent="0.35">
      <c r="A225" t="s">
        <v>107</v>
      </c>
      <c r="B225">
        <v>141</v>
      </c>
      <c r="C225">
        <v>180</v>
      </c>
      <c r="D225" s="2">
        <v>0.79</v>
      </c>
      <c r="E225" s="3">
        <v>1E-35</v>
      </c>
      <c r="F225">
        <v>45.83</v>
      </c>
      <c r="G225" t="str">
        <f>HYPERLINK("https://www.ncbi.nlm.nih.gov/nucleotide/CP019380.1?report=genbank&amp;log$=nucltop&amp;blast_rank=18&amp;RID=29VHDPYR016","CP019380.1")</f>
        <v>CP019380.1</v>
      </c>
    </row>
    <row r="226" spans="1:7" x14ac:dyDescent="0.35">
      <c r="A226" t="s">
        <v>215</v>
      </c>
      <c r="B226">
        <v>211</v>
      </c>
      <c r="C226">
        <v>211</v>
      </c>
      <c r="D226" s="2">
        <v>0.99</v>
      </c>
      <c r="E226" s="3">
        <v>9.9999999999999997E-65</v>
      </c>
      <c r="F226">
        <v>45.78</v>
      </c>
      <c r="G226" t="str">
        <f>HYPERLINK("https://www.ncbi.nlm.nih.gov/nucleotide/XM_007299197.1?report=genbank&amp;log$=nucltop&amp;blast_rank=19&amp;RID=29VHDPYR016","XM_007299197.1")</f>
        <v>XM_007299197.1</v>
      </c>
    </row>
    <row r="227" spans="1:7" x14ac:dyDescent="0.35">
      <c r="A227" t="s">
        <v>245</v>
      </c>
      <c r="B227">
        <v>203</v>
      </c>
      <c r="C227">
        <v>203</v>
      </c>
      <c r="D227" s="2">
        <v>0.91</v>
      </c>
      <c r="E227" s="3">
        <v>8.0000000000000003E-62</v>
      </c>
      <c r="F227">
        <v>45.78</v>
      </c>
      <c r="G227" t="str">
        <f>HYPERLINK("https://www.ncbi.nlm.nih.gov/nucleotide/XM_001836371.2?report=genbank&amp;log$=nucltop&amp;blast_rank=20&amp;RID=29VHDPYR016","XM_001836371.2")</f>
        <v>XM_001836371.2</v>
      </c>
    </row>
    <row r="228" spans="1:7" x14ac:dyDescent="0.35">
      <c r="A228" t="s">
        <v>16</v>
      </c>
      <c r="B228">
        <v>113</v>
      </c>
      <c r="C228">
        <v>166</v>
      </c>
      <c r="D228" s="2">
        <v>0.72</v>
      </c>
      <c r="E228" s="3">
        <v>2.0000000000000002E-31</v>
      </c>
      <c r="F228">
        <v>44.87</v>
      </c>
      <c r="G228" t="str">
        <f>HYPERLINK("https://www.ncbi.nlm.nih.gov/nucleotide/CP039877.1?report=genbank&amp;log$=nucltop&amp;blast_rank=21&amp;RID=29VHDPYR016","CP039877.1")</f>
        <v>CP039877.1</v>
      </c>
    </row>
    <row r="229" spans="1:7" x14ac:dyDescent="0.35">
      <c r="A229" t="s">
        <v>17</v>
      </c>
      <c r="B229">
        <v>113</v>
      </c>
      <c r="C229">
        <v>166</v>
      </c>
      <c r="D229" s="2">
        <v>0.72</v>
      </c>
      <c r="E229" s="3">
        <v>2.0000000000000002E-31</v>
      </c>
      <c r="F229">
        <v>44.87</v>
      </c>
      <c r="G229" t="str">
        <f>HYPERLINK("https://www.ncbi.nlm.nih.gov/nucleotide/CP015461.1?report=genbank&amp;log$=nucltop&amp;blast_rank=22&amp;RID=29VHDPYR016","CP015461.1")</f>
        <v>CP015461.1</v>
      </c>
    </row>
    <row r="230" spans="1:7" x14ac:dyDescent="0.35">
      <c r="A230" t="s">
        <v>18</v>
      </c>
      <c r="B230">
        <v>113</v>
      </c>
      <c r="C230">
        <v>166</v>
      </c>
      <c r="D230" s="2">
        <v>0.72</v>
      </c>
      <c r="E230" s="3">
        <v>2.0000000000000002E-31</v>
      </c>
      <c r="F230">
        <v>44.87</v>
      </c>
      <c r="G230" t="str">
        <f>HYPERLINK("https://www.ncbi.nlm.nih.gov/nucleotide/CP015474.1?report=genbank&amp;log$=nucltop&amp;blast_rank=23&amp;RID=29VHDPYR016","CP015474.1")</f>
        <v>CP015474.1</v>
      </c>
    </row>
    <row r="231" spans="1:7" x14ac:dyDescent="0.35">
      <c r="A231" t="s">
        <v>177</v>
      </c>
      <c r="B231">
        <v>210</v>
      </c>
      <c r="C231">
        <v>210</v>
      </c>
      <c r="D231" s="2">
        <v>0.93</v>
      </c>
      <c r="E231" s="3">
        <v>4.0000000000000003E-63</v>
      </c>
      <c r="F231">
        <v>44.02</v>
      </c>
      <c r="G231" t="str">
        <f>HYPERLINK("https://www.ncbi.nlm.nih.gov/nucleotide/XM_007767661.1?report=genbank&amp;log$=nucltop&amp;blast_rank=24&amp;RID=29VHDPYR016","XM_007767661.1")</f>
        <v>XM_007767661.1</v>
      </c>
    </row>
    <row r="232" spans="1:7" x14ac:dyDescent="0.35">
      <c r="A232" t="s">
        <v>234</v>
      </c>
      <c r="B232">
        <v>112</v>
      </c>
      <c r="C232">
        <v>112</v>
      </c>
      <c r="D232" s="2">
        <v>0.77</v>
      </c>
      <c r="E232" s="3">
        <v>1.9999999999999998E-24</v>
      </c>
      <c r="F232">
        <v>39</v>
      </c>
      <c r="G232" t="str">
        <f>HYPERLINK("https://www.ncbi.nlm.nih.gov/nucleotide/XM_003662060.1?report=genbank&amp;log$=nucltop&amp;blast_rank=25&amp;RID=29VHDPYR016","XM_003662060.1")</f>
        <v>XM_003662060.1</v>
      </c>
    </row>
    <row r="233" spans="1:7" x14ac:dyDescent="0.35">
      <c r="A233" s="4" t="s">
        <v>235</v>
      </c>
      <c r="B233" s="4">
        <v>119</v>
      </c>
      <c r="C233" s="4">
        <v>119</v>
      </c>
      <c r="D233" s="5">
        <v>0.77</v>
      </c>
      <c r="E233" s="6">
        <v>1E-26</v>
      </c>
      <c r="F233" s="4">
        <v>38.69</v>
      </c>
      <c r="G233" s="4" t="str">
        <f>HYPERLINK("https://www.ncbi.nlm.nih.gov/nucleotide/XM_955647.2?report=genbank&amp;log$=nucltop&amp;blast_rank=26&amp;RID=29VHDPYR016","XM_955647.2")</f>
        <v>XM_955647.2</v>
      </c>
    </row>
    <row r="234" spans="1:7" x14ac:dyDescent="0.35">
      <c r="A234" t="s">
        <v>261</v>
      </c>
      <c r="B234">
        <v>100</v>
      </c>
      <c r="C234">
        <v>100</v>
      </c>
      <c r="D234" s="2">
        <v>0.79</v>
      </c>
      <c r="E234" s="3">
        <v>2.9999999999999999E-21</v>
      </c>
      <c r="F234">
        <v>38.61</v>
      </c>
      <c r="G234" t="str">
        <f>HYPERLINK("https://www.ncbi.nlm.nih.gov/nucleotide/XM_007836483.1?report=genbank&amp;log$=nucltop&amp;blast_rank=27&amp;RID=29VHDPYR016","XM_007836483.1")</f>
        <v>XM_007836483.1</v>
      </c>
    </row>
    <row r="235" spans="1:7" x14ac:dyDescent="0.35">
      <c r="A235" t="s">
        <v>139</v>
      </c>
      <c r="B235">
        <v>113</v>
      </c>
      <c r="C235">
        <v>113</v>
      </c>
      <c r="D235" s="2">
        <v>0.77</v>
      </c>
      <c r="E235" s="3">
        <v>1.9999999999999998E-24</v>
      </c>
      <c r="F235">
        <v>38.380000000000003</v>
      </c>
      <c r="G235" t="str">
        <f>HYPERLINK("https://www.ncbi.nlm.nih.gov/nucleotide/XM_016366306.1?report=genbank&amp;log$=nucltop&amp;blast_rank=28&amp;RID=29VHDPYR016","XM_016366306.1")</f>
        <v>XM_016366306.1</v>
      </c>
    </row>
    <row r="236" spans="1:7" x14ac:dyDescent="0.35">
      <c r="A236" t="s">
        <v>239</v>
      </c>
      <c r="B236">
        <v>119</v>
      </c>
      <c r="C236">
        <v>119</v>
      </c>
      <c r="D236" s="2">
        <v>0.77</v>
      </c>
      <c r="E236" s="3">
        <v>2.0000000000000001E-26</v>
      </c>
      <c r="F236">
        <v>38.270000000000003</v>
      </c>
      <c r="G236" t="str">
        <f>HYPERLINK("https://www.ncbi.nlm.nih.gov/nucleotide/AL451013.1?report=genbank&amp;log$=nucltop&amp;blast_rank=29&amp;RID=29VHDPYR016","AL451013.1")</f>
        <v>AL451013.1</v>
      </c>
    </row>
    <row r="237" spans="1:7" x14ac:dyDescent="0.35">
      <c r="A237" t="s">
        <v>279</v>
      </c>
      <c r="B237">
        <v>119</v>
      </c>
      <c r="C237">
        <v>119</v>
      </c>
      <c r="D237" s="2">
        <v>0.77</v>
      </c>
      <c r="E237" s="3">
        <v>1.9999999999999999E-28</v>
      </c>
      <c r="F237">
        <v>38.07</v>
      </c>
      <c r="G237" t="str">
        <f>HYPERLINK("https://www.ncbi.nlm.nih.gov/nucleotide/XM_028635266.1?report=genbank&amp;log$=nucltop&amp;blast_rank=30&amp;RID=29VHDPYR016","XM_028635266.1")</f>
        <v>XM_028635266.1</v>
      </c>
    </row>
    <row r="238" spans="1:7" x14ac:dyDescent="0.35">
      <c r="A238" t="s">
        <v>238</v>
      </c>
      <c r="B238">
        <v>115</v>
      </c>
      <c r="C238">
        <v>115</v>
      </c>
      <c r="D238" s="2">
        <v>0.77</v>
      </c>
      <c r="E238" s="3">
        <v>3.0000000000000001E-26</v>
      </c>
      <c r="F238">
        <v>37.880000000000003</v>
      </c>
      <c r="G238" t="str">
        <f>HYPERLINK("https://www.ncbi.nlm.nih.gov/nucleotide/XM_018328867.1?report=genbank&amp;log$=nucltop&amp;blast_rank=31&amp;RID=29VHDPYR016","XM_018328867.1")</f>
        <v>XM_018328867.1</v>
      </c>
    </row>
    <row r="239" spans="1:7" x14ac:dyDescent="0.35">
      <c r="A239" t="s">
        <v>938</v>
      </c>
      <c r="B239">
        <v>99</v>
      </c>
      <c r="C239">
        <v>99</v>
      </c>
      <c r="D239" s="2">
        <v>0.72</v>
      </c>
      <c r="E239" s="3">
        <v>9.9999999999999995E-21</v>
      </c>
      <c r="F239">
        <v>37.630000000000003</v>
      </c>
      <c r="G239" t="str">
        <f>HYPERLINK("https://www.ncbi.nlm.nih.gov/nucleotide/XM_013410215.1?report=genbank&amp;log$=nucltop&amp;blast_rank=32&amp;RID=29VHDPYR016","XM_013410215.1")</f>
        <v>XM_013410215.1</v>
      </c>
    </row>
    <row r="240" spans="1:7" x14ac:dyDescent="0.35">
      <c r="A240" t="s">
        <v>250</v>
      </c>
      <c r="B240">
        <v>119</v>
      </c>
      <c r="C240">
        <v>119</v>
      </c>
      <c r="D240" s="2">
        <v>0.77</v>
      </c>
      <c r="E240" s="3">
        <v>2.0000000000000001E-26</v>
      </c>
      <c r="F240">
        <v>37.56</v>
      </c>
      <c r="G240" t="str">
        <f>HYPERLINK("https://www.ncbi.nlm.nih.gov/nucleotide/CP010980.1?report=genbank&amp;log$=nucltop&amp;blast_rank=33&amp;RID=29VHDPYR016","CP010980.1")</f>
        <v>CP010980.1</v>
      </c>
    </row>
    <row r="241" spans="1:7" x14ac:dyDescent="0.35">
      <c r="A241" t="s">
        <v>251</v>
      </c>
      <c r="B241">
        <v>119</v>
      </c>
      <c r="C241">
        <v>119</v>
      </c>
      <c r="D241" s="2">
        <v>0.77</v>
      </c>
      <c r="E241" s="3">
        <v>2.0000000000000001E-26</v>
      </c>
      <c r="F241">
        <v>37.56</v>
      </c>
      <c r="G241" t="str">
        <f>HYPERLINK("https://www.ncbi.nlm.nih.gov/nucleotide/CP009075.1?report=genbank&amp;log$=nucltop&amp;blast_rank=34&amp;RID=29VHDPYR016","CP009075.1")</f>
        <v>CP009075.1</v>
      </c>
    </row>
    <row r="242" spans="1:7" x14ac:dyDescent="0.35">
      <c r="A242" t="s">
        <v>264</v>
      </c>
      <c r="B242">
        <v>118</v>
      </c>
      <c r="C242">
        <v>118</v>
      </c>
      <c r="D242" s="2">
        <v>0.77</v>
      </c>
      <c r="E242" s="3">
        <v>1E-27</v>
      </c>
      <c r="F242">
        <v>37.44</v>
      </c>
      <c r="G242" t="str">
        <f>HYPERLINK("https://www.ncbi.nlm.nih.gov/nucleotide/XM_009154513.1?report=genbank&amp;log$=nucltop&amp;blast_rank=35&amp;RID=29VHDPYR016","XM_009154513.1")</f>
        <v>XM_009154513.1</v>
      </c>
    </row>
    <row r="243" spans="1:7" x14ac:dyDescent="0.35">
      <c r="A243" t="s">
        <v>233</v>
      </c>
      <c r="B243">
        <v>142</v>
      </c>
      <c r="C243">
        <v>142</v>
      </c>
      <c r="D243" s="2">
        <v>0.98</v>
      </c>
      <c r="E243" s="3">
        <v>4.9999999999999997E-37</v>
      </c>
      <c r="F243">
        <v>37.25</v>
      </c>
      <c r="G243" t="str">
        <f>HYPERLINK("https://www.ncbi.nlm.nih.gov/nucleotide/XM_002842253.1?report=genbank&amp;log$=nucltop&amp;blast_rank=36&amp;RID=29VHDPYR016","XM_002842253.1")</f>
        <v>XM_002842253.1</v>
      </c>
    </row>
    <row r="244" spans="1:7" x14ac:dyDescent="0.35">
      <c r="A244" s="4" t="s">
        <v>1285</v>
      </c>
      <c r="B244" s="4">
        <v>97.8</v>
      </c>
      <c r="C244" s="4">
        <v>97.8</v>
      </c>
      <c r="D244" s="5">
        <v>0.77</v>
      </c>
      <c r="E244" s="6">
        <v>1.9999999999999999E-20</v>
      </c>
      <c r="F244" s="4">
        <v>37.19</v>
      </c>
      <c r="G244" s="4" t="str">
        <f>HYPERLINK("https://www.ncbi.nlm.nih.gov/nucleotide/XM_036636826.1?report=genbank&amp;log$=nucltop&amp;blast_rank=37&amp;RID=29VHDPYR016","XM_036636826.1")</f>
        <v>XM_036636826.1</v>
      </c>
    </row>
    <row r="245" spans="1:7" x14ac:dyDescent="0.35">
      <c r="A245" s="4" t="s">
        <v>1286</v>
      </c>
      <c r="B245" s="4">
        <v>97.4</v>
      </c>
      <c r="C245" s="4">
        <v>97.4</v>
      </c>
      <c r="D245" s="5">
        <v>0.77</v>
      </c>
      <c r="E245" s="6">
        <v>1.9999999999999999E-20</v>
      </c>
      <c r="F245" s="4">
        <v>37.19</v>
      </c>
      <c r="G245" s="4" t="str">
        <f>HYPERLINK("https://www.ncbi.nlm.nih.gov/nucleotide/XM_037320100.1?report=genbank&amp;log$=nucltop&amp;blast_rank=38&amp;RID=29VHDPYR016","XM_037320100.1")</f>
        <v>XM_037320100.1</v>
      </c>
    </row>
    <row r="246" spans="1:7" x14ac:dyDescent="0.35">
      <c r="A246" t="s">
        <v>236</v>
      </c>
      <c r="B246">
        <v>100</v>
      </c>
      <c r="C246">
        <v>100</v>
      </c>
      <c r="D246" s="2">
        <v>0.77</v>
      </c>
      <c r="E246" s="3">
        <v>9.9999999999999995E-21</v>
      </c>
      <c r="F246">
        <v>37.06</v>
      </c>
      <c r="G246" t="str">
        <f>HYPERLINK("https://www.ncbi.nlm.nih.gov/nucleotide/XM_003649649.1?report=genbank&amp;log$=nucltop&amp;blast_rank=39&amp;RID=29VHDPYR016","XM_003649649.1")</f>
        <v>XM_003649649.1</v>
      </c>
    </row>
    <row r="247" spans="1:7" x14ac:dyDescent="0.35">
      <c r="A247" t="s">
        <v>253</v>
      </c>
      <c r="B247">
        <v>110</v>
      </c>
      <c r="C247">
        <v>110</v>
      </c>
      <c r="D247" s="2">
        <v>0.79</v>
      </c>
      <c r="E247" s="3">
        <v>5.9999999999999999E-24</v>
      </c>
      <c r="F247">
        <v>37</v>
      </c>
      <c r="G247" t="str">
        <f>HYPERLINK("https://www.ncbi.nlm.nih.gov/nucleotide/XM_033719977.1?report=genbank&amp;log$=nucltop&amp;blast_rank=40&amp;RID=29VHDPYR016","XM_033719977.1")</f>
        <v>XM_033719977.1</v>
      </c>
    </row>
    <row r="248" spans="1:7" x14ac:dyDescent="0.35">
      <c r="A248" t="s">
        <v>244</v>
      </c>
      <c r="B248">
        <v>115</v>
      </c>
      <c r="C248">
        <v>115</v>
      </c>
      <c r="D248" s="2">
        <v>0.77</v>
      </c>
      <c r="E248" s="3">
        <v>6.0000000000000002E-27</v>
      </c>
      <c r="F248">
        <v>36.869999999999997</v>
      </c>
      <c r="G248" t="str">
        <f>HYPERLINK("https://www.ncbi.nlm.nih.gov/nucleotide/XM_008081488.1?report=genbank&amp;log$=nucltop&amp;blast_rank=41&amp;RID=29VHDPYR016","XM_008081488.1")</f>
        <v>XM_008081488.1</v>
      </c>
    </row>
    <row r="249" spans="1:7" x14ac:dyDescent="0.35">
      <c r="A249" t="s">
        <v>176</v>
      </c>
      <c r="B249">
        <v>110</v>
      </c>
      <c r="C249">
        <v>110</v>
      </c>
      <c r="D249" s="2">
        <v>0.77</v>
      </c>
      <c r="E249" s="3">
        <v>9.9999999999999992E-25</v>
      </c>
      <c r="F249">
        <v>36.869999999999997</v>
      </c>
      <c r="G249" t="str">
        <f>HYPERLINK("https://www.ncbi.nlm.nih.gov/nucleotide/XM_003006183.1?report=genbank&amp;log$=nucltop&amp;blast_rank=42&amp;RID=29VHDPYR016","XM_003006183.1")</f>
        <v>XM_003006183.1</v>
      </c>
    </row>
    <row r="250" spans="1:7" x14ac:dyDescent="0.35">
      <c r="A250" t="s">
        <v>937</v>
      </c>
      <c r="B250">
        <v>100</v>
      </c>
      <c r="C250">
        <v>100</v>
      </c>
      <c r="D250" s="2">
        <v>0.79</v>
      </c>
      <c r="E250" s="3">
        <v>3.0000000000000003E-20</v>
      </c>
      <c r="F250">
        <v>36.82</v>
      </c>
      <c r="G250" t="str">
        <f>HYPERLINK("https://www.ncbi.nlm.nih.gov/nucleotide/XM_009220511.1?report=genbank&amp;log$=nucltop&amp;blast_rank=43&amp;RID=29VHDPYR016","XM_009220511.1")</f>
        <v>XM_009220511.1</v>
      </c>
    </row>
    <row r="251" spans="1:7" x14ac:dyDescent="0.35">
      <c r="A251" t="s">
        <v>218</v>
      </c>
      <c r="B251">
        <v>110</v>
      </c>
      <c r="C251">
        <v>110</v>
      </c>
      <c r="D251" s="2">
        <v>0.77</v>
      </c>
      <c r="E251" s="3">
        <v>9.9999999999999992E-25</v>
      </c>
      <c r="F251">
        <v>36.729999999999997</v>
      </c>
      <c r="G251" t="str">
        <f>HYPERLINK("https://www.ncbi.nlm.nih.gov/nucleotide/XM_033831227.1?report=genbank&amp;log$=nucltop&amp;blast_rank=44&amp;RID=29VHDPYR016","XM_033831227.1")</f>
        <v>XM_033831227.1</v>
      </c>
    </row>
    <row r="252" spans="1:7" x14ac:dyDescent="0.35">
      <c r="A252" s="4" t="s">
        <v>256</v>
      </c>
      <c r="B252" s="4">
        <v>102</v>
      </c>
      <c r="C252" s="4">
        <v>102</v>
      </c>
      <c r="D252" s="5">
        <v>0.8</v>
      </c>
      <c r="E252" s="6">
        <v>9.9999999999999995E-21</v>
      </c>
      <c r="F252" s="4">
        <v>36.229999999999997</v>
      </c>
      <c r="G252" s="4" t="str">
        <f>HYPERLINK("https://www.ncbi.nlm.nih.gov/nucleotide/XM_031720476.1?report=genbank&amp;log$=nucltop&amp;blast_rank=45&amp;RID=29VHDPYR016","XM_031720476.1")</f>
        <v>XM_031720476.1</v>
      </c>
    </row>
    <row r="253" spans="1:7" x14ac:dyDescent="0.35">
      <c r="A253" s="4" t="s">
        <v>267</v>
      </c>
      <c r="B253" s="4">
        <v>109</v>
      </c>
      <c r="C253" s="4">
        <v>109</v>
      </c>
      <c r="D253" s="5">
        <v>0.86</v>
      </c>
      <c r="E253" s="6">
        <v>1.9999999999999998E-24</v>
      </c>
      <c r="F253" s="4">
        <v>36.159999999999997</v>
      </c>
      <c r="G253" s="4" t="str">
        <f>HYPERLINK("https://www.ncbi.nlm.nih.gov/nucleotide/XM_745463.1?report=genbank&amp;log$=nucltop&amp;blast_rank=46&amp;RID=29VHDPYR016","XM_745463.1")</f>
        <v>XM_745463.1</v>
      </c>
    </row>
    <row r="254" spans="1:7" x14ac:dyDescent="0.35">
      <c r="A254" t="s">
        <v>252</v>
      </c>
      <c r="B254">
        <v>108</v>
      </c>
      <c r="C254">
        <v>108</v>
      </c>
      <c r="D254" s="2">
        <v>0.8</v>
      </c>
      <c r="E254" s="3">
        <v>6.9999999999999993E-24</v>
      </c>
      <c r="F254">
        <v>36.14</v>
      </c>
      <c r="G254" t="str">
        <f>HYPERLINK("https://www.ncbi.nlm.nih.gov/nucleotide/XM_018174954.1?report=genbank&amp;log$=nucltop&amp;blast_rank=47&amp;RID=29VHDPYR016","XM_018174954.1")</f>
        <v>XM_018174954.1</v>
      </c>
    </row>
    <row r="255" spans="1:7" x14ac:dyDescent="0.35">
      <c r="A255" t="s">
        <v>1287</v>
      </c>
      <c r="B255">
        <v>107</v>
      </c>
      <c r="C255">
        <v>107</v>
      </c>
      <c r="D255" s="2">
        <v>0.79</v>
      </c>
      <c r="E255" s="3">
        <v>1E-22</v>
      </c>
      <c r="F255">
        <v>36</v>
      </c>
      <c r="G255" t="str">
        <f>HYPERLINK("https://www.ncbi.nlm.nih.gov/nucleotide/XM_033686317.1?report=genbank&amp;log$=nucltop&amp;blast_rank=48&amp;RID=29VHDPYR016","XM_033686317.1")</f>
        <v>XM_033686317.1</v>
      </c>
    </row>
    <row r="256" spans="1:7" x14ac:dyDescent="0.35">
      <c r="A256" t="s">
        <v>272</v>
      </c>
      <c r="B256">
        <v>121</v>
      </c>
      <c r="C256">
        <v>121</v>
      </c>
      <c r="D256" s="2">
        <v>0.91</v>
      </c>
      <c r="E256" s="3">
        <v>9.9999999999999997E-29</v>
      </c>
      <c r="F256">
        <v>35.93</v>
      </c>
      <c r="G256" t="str">
        <f>HYPERLINK("https://www.ncbi.nlm.nih.gov/nucleotide/XM_001911327.1?report=genbank&amp;log$=nucltop&amp;blast_rank=49&amp;RID=29VHDPYR016","XM_001911327.1")</f>
        <v>XM_001911327.1</v>
      </c>
    </row>
    <row r="257" spans="1:7" x14ac:dyDescent="0.35">
      <c r="A257" t="s">
        <v>246</v>
      </c>
      <c r="B257">
        <v>121</v>
      </c>
      <c r="C257">
        <v>121</v>
      </c>
      <c r="D257" s="2">
        <v>0.93</v>
      </c>
      <c r="E257" s="3">
        <v>1.9999999999999999E-28</v>
      </c>
      <c r="F257">
        <v>35.74</v>
      </c>
      <c r="G257" t="str">
        <f>HYPERLINK("https://www.ncbi.nlm.nih.gov/nucleotide/XM_009850061.1?report=genbank&amp;log$=nucltop&amp;blast_rank=50&amp;RID=29VHDPYR016","XM_009850061.1")</f>
        <v>XM_009850061.1</v>
      </c>
    </row>
    <row r="258" spans="1:7" x14ac:dyDescent="0.35">
      <c r="A258" t="s">
        <v>232</v>
      </c>
      <c r="B258">
        <v>123</v>
      </c>
      <c r="C258">
        <v>123</v>
      </c>
      <c r="D258" s="2">
        <v>0.93</v>
      </c>
      <c r="E258" s="3">
        <v>9.9999999999999994E-30</v>
      </c>
      <c r="F258">
        <v>35.71</v>
      </c>
      <c r="G258" t="str">
        <f>HYPERLINK("https://www.ncbi.nlm.nih.gov/nucleotide/XM_003352052.1?report=genbank&amp;log$=nucltop&amp;blast_rank=51&amp;RID=29VHDPYR016","XM_003352052.1")</f>
        <v>XM_003352052.1</v>
      </c>
    </row>
    <row r="259" spans="1:7" x14ac:dyDescent="0.35">
      <c r="A259" t="s">
        <v>216</v>
      </c>
      <c r="B259">
        <v>111</v>
      </c>
      <c r="C259">
        <v>111</v>
      </c>
      <c r="D259" s="2">
        <v>0.79</v>
      </c>
      <c r="E259" s="3">
        <v>2.0000000000000001E-25</v>
      </c>
      <c r="F259">
        <v>35.5</v>
      </c>
      <c r="G259" t="str">
        <f>HYPERLINK("https://www.ncbi.nlm.nih.gov/nucleotide/XM_024034823.1?report=genbank&amp;log$=nucltop&amp;blast_rank=52&amp;RID=29VHDPYR016","XM_024034823.1")</f>
        <v>XM_024034823.1</v>
      </c>
    </row>
    <row r="260" spans="1:7" x14ac:dyDescent="0.35">
      <c r="A260" t="s">
        <v>282</v>
      </c>
      <c r="B260">
        <v>116</v>
      </c>
      <c r="C260">
        <v>116</v>
      </c>
      <c r="D260" s="2">
        <v>0.8</v>
      </c>
      <c r="E260" s="3">
        <v>3.0000000000000001E-27</v>
      </c>
      <c r="F260">
        <v>35.47</v>
      </c>
      <c r="G260" t="str">
        <f>HYPERLINK("https://www.ncbi.nlm.nih.gov/nucleotide/XM_031153619.1?report=genbank&amp;log$=nucltop&amp;blast_rank=53&amp;RID=29VHDPYR016","XM_031153619.1")</f>
        <v>XM_031153619.1</v>
      </c>
    </row>
    <row r="261" spans="1:7" x14ac:dyDescent="0.35">
      <c r="A261" t="s">
        <v>247</v>
      </c>
      <c r="B261">
        <v>119</v>
      </c>
      <c r="C261">
        <v>119</v>
      </c>
      <c r="D261" s="2">
        <v>0.88</v>
      </c>
      <c r="E261" s="3">
        <v>6.0000000000000002E-27</v>
      </c>
      <c r="F261">
        <v>35.270000000000003</v>
      </c>
      <c r="G261" t="str">
        <f>HYPERLINK("https://www.ncbi.nlm.nih.gov/nucleotide/XM_033744228.1?report=genbank&amp;log$=nucltop&amp;blast_rank=54&amp;RID=29VHDPYR016","XM_033744228.1")</f>
        <v>XM_033744228.1</v>
      </c>
    </row>
    <row r="262" spans="1:7" x14ac:dyDescent="0.35">
      <c r="A262" t="s">
        <v>249</v>
      </c>
      <c r="B262">
        <v>119</v>
      </c>
      <c r="C262">
        <v>119</v>
      </c>
      <c r="D262" s="2">
        <v>0.86</v>
      </c>
      <c r="E262" s="3">
        <v>6.0000000000000001E-28</v>
      </c>
      <c r="F262">
        <v>35.159999999999997</v>
      </c>
      <c r="G262" t="str">
        <f>HYPERLINK("https://www.ncbi.nlm.nih.gov/nucleotide/XM_009650293.1?report=genbank&amp;log$=nucltop&amp;blast_rank=55&amp;RID=29VHDPYR016","XM_009650293.1")</f>
        <v>XM_009650293.1</v>
      </c>
    </row>
    <row r="263" spans="1:7" x14ac:dyDescent="0.35">
      <c r="A263" t="s">
        <v>943</v>
      </c>
      <c r="B263">
        <v>102</v>
      </c>
      <c r="C263">
        <v>102</v>
      </c>
      <c r="D263" s="2">
        <v>0.86</v>
      </c>
      <c r="E263" s="3">
        <v>4.9999999999999995E-22</v>
      </c>
      <c r="F263">
        <v>35.11</v>
      </c>
      <c r="G263" t="str">
        <f>HYPERLINK("https://www.ncbi.nlm.nih.gov/nucleotide/XM_026759999.1?report=genbank&amp;log$=nucltop&amp;blast_rank=56&amp;RID=29VHDPYR016","XM_026759999.1")</f>
        <v>XM_026759999.1</v>
      </c>
    </row>
    <row r="264" spans="1:7" x14ac:dyDescent="0.35">
      <c r="A264" t="s">
        <v>1288</v>
      </c>
      <c r="B264">
        <v>99</v>
      </c>
      <c r="C264">
        <v>99</v>
      </c>
      <c r="D264" s="2">
        <v>0.87</v>
      </c>
      <c r="E264" s="3">
        <v>1.9999999999999999E-20</v>
      </c>
      <c r="F264">
        <v>34.979999999999997</v>
      </c>
      <c r="G264" t="str">
        <f>HYPERLINK("https://www.ncbi.nlm.nih.gov/nucleotide/XM_029889576.1?report=genbank&amp;log$=nucltop&amp;blast_rank=57&amp;RID=29VHDPYR016","XM_029889576.1")</f>
        <v>XM_029889576.1</v>
      </c>
    </row>
    <row r="265" spans="1:7" x14ac:dyDescent="0.35">
      <c r="A265" s="4" t="s">
        <v>260</v>
      </c>
      <c r="B265" s="4">
        <v>102</v>
      </c>
      <c r="C265" s="4">
        <v>102</v>
      </c>
      <c r="D265" s="5">
        <v>0.79</v>
      </c>
      <c r="E265" s="6">
        <v>4.0000000000000002E-22</v>
      </c>
      <c r="F265" s="4">
        <v>34.83</v>
      </c>
      <c r="G265" s="4" t="str">
        <f>HYPERLINK("https://www.ncbi.nlm.nih.gov/nucleotide/XM_023769316.1?report=genbank&amp;log$=nucltop&amp;blast_rank=58&amp;RID=29VHDPYR016","XM_023769316.1")</f>
        <v>XM_023769316.1</v>
      </c>
    </row>
    <row r="266" spans="1:7" x14ac:dyDescent="0.35">
      <c r="A266" s="4" t="s">
        <v>257</v>
      </c>
      <c r="B266" s="4">
        <v>100</v>
      </c>
      <c r="C266" s="4">
        <v>100</v>
      </c>
      <c r="D266" s="5">
        <v>0.79</v>
      </c>
      <c r="E266" s="6">
        <v>7.9999999999999993E-21</v>
      </c>
      <c r="F266" s="4">
        <v>34.83</v>
      </c>
      <c r="G266" s="4" t="str">
        <f>HYPERLINK("https://www.ncbi.nlm.nih.gov/nucleotide/XM_003851169.1?report=genbank&amp;log$=nucltop&amp;blast_rank=59&amp;RID=29VHDPYR016","XM_003851169.1")</f>
        <v>XM_003851169.1</v>
      </c>
    </row>
    <row r="267" spans="1:7" x14ac:dyDescent="0.35">
      <c r="A267" t="s">
        <v>225</v>
      </c>
      <c r="B267">
        <v>122</v>
      </c>
      <c r="C267">
        <v>122</v>
      </c>
      <c r="D267" s="2">
        <v>0.92</v>
      </c>
      <c r="E267" s="3">
        <v>1.9999999999999999E-29</v>
      </c>
      <c r="F267">
        <v>34.75</v>
      </c>
      <c r="G267" t="str">
        <f>HYPERLINK("https://www.ncbi.nlm.nih.gov/nucleotide/XM_007722025.1?report=genbank&amp;log$=nucltop&amp;blast_rank=60&amp;RID=29VHDPYR016","XM_007722025.1")</f>
        <v>XM_007722025.1</v>
      </c>
    </row>
    <row r="268" spans="1:7" x14ac:dyDescent="0.35">
      <c r="A268" t="s">
        <v>1289</v>
      </c>
      <c r="B268">
        <v>107</v>
      </c>
      <c r="C268">
        <v>107</v>
      </c>
      <c r="D268" s="2">
        <v>0.77</v>
      </c>
      <c r="E268" s="3">
        <v>5.0000000000000002E-23</v>
      </c>
      <c r="F268">
        <v>34.69</v>
      </c>
      <c r="G268" t="str">
        <f>HYPERLINK("https://www.ncbi.nlm.nih.gov/nucleotide/XM_033661885.1?report=genbank&amp;log$=nucltop&amp;blast_rank=61&amp;RID=29VHDPYR016","XM_033661885.1")</f>
        <v>XM_033661885.1</v>
      </c>
    </row>
    <row r="269" spans="1:7" x14ac:dyDescent="0.35">
      <c r="A269" s="4" t="s">
        <v>947</v>
      </c>
      <c r="B269" s="4">
        <v>108</v>
      </c>
      <c r="C269" s="4">
        <v>108</v>
      </c>
      <c r="D269" s="5">
        <v>0.89</v>
      </c>
      <c r="E269" s="6">
        <v>3E-24</v>
      </c>
      <c r="F269" s="4">
        <v>34.619999999999997</v>
      </c>
      <c r="G269" s="4" t="str">
        <f>HYPERLINK("https://www.ncbi.nlm.nih.gov/nucleotide/XM_033556261.1?report=genbank&amp;log$=nucltop&amp;blast_rank=62&amp;RID=29VHDPYR016","XM_033556261.1")</f>
        <v>XM_033556261.1</v>
      </c>
    </row>
    <row r="270" spans="1:7" x14ac:dyDescent="0.35">
      <c r="A270" t="s">
        <v>237</v>
      </c>
      <c r="B270">
        <v>103</v>
      </c>
      <c r="C270">
        <v>103</v>
      </c>
      <c r="D270" s="2">
        <v>0.86</v>
      </c>
      <c r="E270" s="3">
        <v>3.9999999999999996E-21</v>
      </c>
      <c r="F270">
        <v>34.56</v>
      </c>
      <c r="G270" t="str">
        <f>HYPERLINK("https://www.ncbi.nlm.nih.gov/nucleotide/MG777491.1?report=genbank&amp;log$=nucltop&amp;blast_rank=63&amp;RID=29VHDPYR016","MG777491.1")</f>
        <v>MG777491.1</v>
      </c>
    </row>
    <row r="271" spans="1:7" x14ac:dyDescent="0.35">
      <c r="A271" t="s">
        <v>231</v>
      </c>
      <c r="B271">
        <v>126</v>
      </c>
      <c r="C271">
        <v>126</v>
      </c>
      <c r="D271" s="2">
        <v>0.94</v>
      </c>
      <c r="E271" s="3">
        <v>2.0000000000000002E-31</v>
      </c>
      <c r="F271">
        <v>34.549999999999997</v>
      </c>
      <c r="G271" t="str">
        <f>HYPERLINK("https://www.ncbi.nlm.nih.gov/nucleotide/XM_011122679.1?report=genbank&amp;log$=nucltop&amp;blast_rank=64&amp;RID=29VHDPYR016","XM_011122679.1")</f>
        <v>XM_011122679.1</v>
      </c>
    </row>
    <row r="272" spans="1:7" x14ac:dyDescent="0.35">
      <c r="A272" t="s">
        <v>273</v>
      </c>
      <c r="B272">
        <v>107</v>
      </c>
      <c r="C272">
        <v>107</v>
      </c>
      <c r="D272" s="2">
        <v>0.86</v>
      </c>
      <c r="E272" s="3">
        <v>1.9999999999999999E-23</v>
      </c>
      <c r="F272">
        <v>34.549999999999997</v>
      </c>
      <c r="G272" t="str">
        <f>HYPERLINK("https://www.ncbi.nlm.nih.gov/nucleotide/XM_007788590.1?report=genbank&amp;log$=nucltop&amp;blast_rank=65&amp;RID=29VHDPYR016","XM_007788590.1")</f>
        <v>XM_007788590.1</v>
      </c>
    </row>
    <row r="273" spans="1:7" x14ac:dyDescent="0.35">
      <c r="A273" t="s">
        <v>1290</v>
      </c>
      <c r="B273">
        <v>100</v>
      </c>
      <c r="C273">
        <v>100</v>
      </c>
      <c r="D273" s="2">
        <v>0.89</v>
      </c>
      <c r="E273" s="3">
        <v>1.9999999999999998E-21</v>
      </c>
      <c r="F273">
        <v>34.47</v>
      </c>
      <c r="G273" t="str">
        <f>HYPERLINK("https://www.ncbi.nlm.nih.gov/nucleotide/XM_025619829.1?report=genbank&amp;log$=nucltop&amp;blast_rank=66&amp;RID=29VHDPYR016","XM_025619829.1")</f>
        <v>XM_025619829.1</v>
      </c>
    </row>
    <row r="274" spans="1:7" x14ac:dyDescent="0.35">
      <c r="A274" t="s">
        <v>277</v>
      </c>
      <c r="B274">
        <v>106</v>
      </c>
      <c r="C274">
        <v>106</v>
      </c>
      <c r="D274" s="2">
        <v>0.8</v>
      </c>
      <c r="E274" s="3">
        <v>2.0000000000000001E-22</v>
      </c>
      <c r="F274">
        <v>34.47</v>
      </c>
      <c r="G274" t="str">
        <f>HYPERLINK("https://www.ncbi.nlm.nih.gov/nucleotide/XM_033803268.1?report=genbank&amp;log$=nucltop&amp;blast_rank=67&amp;RID=29VHDPYR016","XM_033803268.1")</f>
        <v>XM_033803268.1</v>
      </c>
    </row>
    <row r="275" spans="1:7" x14ac:dyDescent="0.35">
      <c r="A275" t="s">
        <v>1072</v>
      </c>
      <c r="B275">
        <v>102</v>
      </c>
      <c r="C275">
        <v>102</v>
      </c>
      <c r="D275" s="2">
        <v>0.83</v>
      </c>
      <c r="E275" s="3">
        <v>9.9999999999999995E-21</v>
      </c>
      <c r="F275">
        <v>34.42</v>
      </c>
      <c r="G275" t="str">
        <f>HYPERLINK("https://www.ncbi.nlm.nih.gov/nucleotide/CP034378.1?report=genbank&amp;log$=nucltop&amp;blast_rank=68&amp;RID=29VHDPYR016","CP034378.1")</f>
        <v>CP034378.1</v>
      </c>
    </row>
    <row r="276" spans="1:7" x14ac:dyDescent="0.35">
      <c r="A276" t="s">
        <v>213</v>
      </c>
      <c r="B276">
        <v>118</v>
      </c>
      <c r="C276">
        <v>118</v>
      </c>
      <c r="D276" s="2">
        <v>0.91</v>
      </c>
      <c r="E276" s="3">
        <v>6.9999999999999999E-28</v>
      </c>
      <c r="F276">
        <v>34.35</v>
      </c>
      <c r="G276" t="str">
        <f>HYPERLINK("https://www.ncbi.nlm.nih.gov/nucleotide/XM_037299585.1?report=genbank&amp;log$=nucltop&amp;blast_rank=69&amp;RID=29VHDPYR016","XM_037299585.1")</f>
        <v>XM_037299585.1</v>
      </c>
    </row>
    <row r="277" spans="1:7" x14ac:dyDescent="0.35">
      <c r="A277" t="s">
        <v>214</v>
      </c>
      <c r="B277">
        <v>118</v>
      </c>
      <c r="C277">
        <v>118</v>
      </c>
      <c r="D277" s="2">
        <v>0.91</v>
      </c>
      <c r="E277" s="3">
        <v>7.9999999999999998E-28</v>
      </c>
      <c r="F277">
        <v>34.35</v>
      </c>
      <c r="G277" t="str">
        <f>HYPERLINK("https://www.ncbi.nlm.nih.gov/nucleotide/XM_037307991.1?report=genbank&amp;log$=nucltop&amp;blast_rank=70&amp;RID=29VHDPYR016","XM_037307991.1")</f>
        <v>XM_037307991.1</v>
      </c>
    </row>
    <row r="278" spans="1:7" x14ac:dyDescent="0.35">
      <c r="A278" t="s">
        <v>259</v>
      </c>
      <c r="B278">
        <v>101</v>
      </c>
      <c r="C278">
        <v>101</v>
      </c>
      <c r="D278" s="2">
        <v>0.79</v>
      </c>
      <c r="E278" s="3">
        <v>8.9999999999999997E-22</v>
      </c>
      <c r="F278">
        <v>34.33</v>
      </c>
      <c r="G278" t="str">
        <f>HYPERLINK("https://www.ncbi.nlm.nih.gov/nucleotide/XM_033805656.1?report=genbank&amp;log$=nucltop&amp;blast_rank=71&amp;RID=29VHDPYR016","XM_033805656.1")</f>
        <v>XM_033805656.1</v>
      </c>
    </row>
    <row r="279" spans="1:7" x14ac:dyDescent="0.35">
      <c r="A279" t="s">
        <v>278</v>
      </c>
      <c r="B279">
        <v>107</v>
      </c>
      <c r="C279">
        <v>107</v>
      </c>
      <c r="D279" s="2">
        <v>0.8</v>
      </c>
      <c r="E279" s="3">
        <v>6.0000000000000001E-23</v>
      </c>
      <c r="F279">
        <v>34.15</v>
      </c>
      <c r="G279" t="str">
        <f>HYPERLINK("https://www.ncbi.nlm.nih.gov/nucleotide/XM_001933154.1?report=genbank&amp;log$=nucltop&amp;blast_rank=72&amp;RID=29VHDPYR016","XM_001933154.1")</f>
        <v>XM_001933154.1</v>
      </c>
    </row>
    <row r="280" spans="1:7" x14ac:dyDescent="0.35">
      <c r="A280" t="s">
        <v>135</v>
      </c>
      <c r="B280">
        <v>107</v>
      </c>
      <c r="C280">
        <v>107</v>
      </c>
      <c r="D280" s="2">
        <v>0.86</v>
      </c>
      <c r="E280" s="3">
        <v>1.9999999999999999E-23</v>
      </c>
      <c r="F280">
        <v>34.1</v>
      </c>
      <c r="G280" t="str">
        <f>HYPERLINK("https://www.ncbi.nlm.nih.gov/nucleotide/XM_007737879.1?report=genbank&amp;log$=nucltop&amp;blast_rank=73&amp;RID=29VHDPYR016","XM_007737879.1")</f>
        <v>XM_007737879.1</v>
      </c>
    </row>
    <row r="281" spans="1:7" x14ac:dyDescent="0.35">
      <c r="A281" t="s">
        <v>258</v>
      </c>
      <c r="B281">
        <v>119</v>
      </c>
      <c r="C281">
        <v>119</v>
      </c>
      <c r="D281" s="2">
        <v>0.88</v>
      </c>
      <c r="E281" s="3">
        <v>9.9999999999999997E-29</v>
      </c>
      <c r="F281">
        <v>34.08</v>
      </c>
      <c r="G281" t="str">
        <f>HYPERLINK("https://www.ncbi.nlm.nih.gov/nucleotide/XM_019169675.1?report=genbank&amp;log$=nucltop&amp;blast_rank=74&amp;RID=29VHDPYR016","XM_019169675.1")</f>
        <v>XM_019169675.1</v>
      </c>
    </row>
    <row r="282" spans="1:7" x14ac:dyDescent="0.35">
      <c r="A282" s="4" t="s">
        <v>1291</v>
      </c>
      <c r="B282" s="4">
        <v>100</v>
      </c>
      <c r="C282" s="4">
        <v>100</v>
      </c>
      <c r="D282" s="5">
        <v>0.89</v>
      </c>
      <c r="E282" s="6">
        <v>2.9999999999999999E-21</v>
      </c>
      <c r="F282" s="4">
        <v>34.04</v>
      </c>
      <c r="G282" s="4" t="str">
        <f>HYPERLINK("https://www.ncbi.nlm.nih.gov/nucleotide/XM_035495155.1?report=genbank&amp;log$=nucltop&amp;blast_rank=75&amp;RID=29VHDPYR016","XM_035495155.1")</f>
        <v>XM_035495155.1</v>
      </c>
    </row>
    <row r="283" spans="1:7" x14ac:dyDescent="0.35">
      <c r="A283" t="s">
        <v>1292</v>
      </c>
      <c r="B283">
        <v>100</v>
      </c>
      <c r="C283">
        <v>100</v>
      </c>
      <c r="D283" s="2">
        <v>0.89</v>
      </c>
      <c r="E283" s="3">
        <v>9.9999999999999995E-21</v>
      </c>
      <c r="F283">
        <v>34.04</v>
      </c>
      <c r="G283" t="str">
        <f>HYPERLINK("https://www.ncbi.nlm.nih.gov/nucleotide/XM_025706184.1?report=genbank&amp;log$=nucltop&amp;blast_rank=76&amp;RID=29VHDPYR016","XM_025706184.1")</f>
        <v>XM_025706184.1</v>
      </c>
    </row>
    <row r="284" spans="1:7" x14ac:dyDescent="0.35">
      <c r="A284" t="s">
        <v>242</v>
      </c>
      <c r="B284">
        <v>122</v>
      </c>
      <c r="C284">
        <v>122</v>
      </c>
      <c r="D284" s="2">
        <v>0.94</v>
      </c>
      <c r="E284" s="3">
        <v>1.9999999999999999E-29</v>
      </c>
      <c r="F284">
        <v>34.020000000000003</v>
      </c>
      <c r="G284" t="str">
        <f>HYPERLINK("https://www.ncbi.nlm.nih.gov/nucleotide/XM_007295640.1?report=genbank&amp;log$=nucltop&amp;blast_rank=77&amp;RID=29VHDPYR016","XM_007295640.1")</f>
        <v>XM_007295640.1</v>
      </c>
    </row>
    <row r="285" spans="1:7" x14ac:dyDescent="0.35">
      <c r="A285" t="s">
        <v>148</v>
      </c>
      <c r="B285">
        <v>102</v>
      </c>
      <c r="C285">
        <v>102</v>
      </c>
      <c r="D285" s="2">
        <v>0.77</v>
      </c>
      <c r="E285" s="3">
        <v>9.9999999999999991E-22</v>
      </c>
      <c r="F285">
        <v>34.01</v>
      </c>
      <c r="G285" t="str">
        <f>HYPERLINK("https://www.ncbi.nlm.nih.gov/nucleotide/XM_016758299.1?report=genbank&amp;log$=nucltop&amp;blast_rank=78&amp;RID=29VHDPYR016","XM_016758299.1")</f>
        <v>XM_016758299.1</v>
      </c>
    </row>
    <row r="286" spans="1:7" x14ac:dyDescent="0.35">
      <c r="A286" t="s">
        <v>227</v>
      </c>
      <c r="B286">
        <v>98.6</v>
      </c>
      <c r="C286">
        <v>98.6</v>
      </c>
      <c r="D286" s="2">
        <v>0.77</v>
      </c>
      <c r="E286" s="3">
        <v>3.0000000000000003E-20</v>
      </c>
      <c r="F286">
        <v>34.01</v>
      </c>
      <c r="G286" t="str">
        <f>HYPERLINK("https://www.ncbi.nlm.nih.gov/nucleotide/XM_022645436.1?report=genbank&amp;log$=nucltop&amp;blast_rank=79&amp;RID=29VHDPYR016","XM_022645436.1")</f>
        <v>XM_022645436.1</v>
      </c>
    </row>
    <row r="287" spans="1:7" x14ac:dyDescent="0.35">
      <c r="A287" t="s">
        <v>219</v>
      </c>
      <c r="B287">
        <v>101</v>
      </c>
      <c r="C287">
        <v>101</v>
      </c>
      <c r="D287" s="2">
        <v>0.77</v>
      </c>
      <c r="E287" s="3">
        <v>1.9999999999999999E-20</v>
      </c>
      <c r="F287">
        <v>33.85</v>
      </c>
      <c r="G287" t="str">
        <f>HYPERLINK("https://www.ncbi.nlm.nih.gov/nucleotide/XM_016407075.1?report=genbank&amp;log$=nucltop&amp;blast_rank=80&amp;RID=29VHDPYR016","XM_016407075.1")</f>
        <v>XM_016407075.1</v>
      </c>
    </row>
    <row r="288" spans="1:7" x14ac:dyDescent="0.35">
      <c r="A288" t="s">
        <v>1293</v>
      </c>
      <c r="B288">
        <v>101</v>
      </c>
      <c r="C288">
        <v>101</v>
      </c>
      <c r="D288" s="2">
        <v>0.79</v>
      </c>
      <c r="E288" s="3">
        <v>9.9999999999999991E-22</v>
      </c>
      <c r="F288">
        <v>33.83</v>
      </c>
      <c r="G288" t="str">
        <f>HYPERLINK("https://www.ncbi.nlm.nih.gov/nucleotide/XM_025727488.1?report=genbank&amp;log$=nucltop&amp;blast_rank=81&amp;RID=29VHDPYR016","XM_025727488.1")</f>
        <v>XM_025727488.1</v>
      </c>
    </row>
    <row r="289" spans="1:7" x14ac:dyDescent="0.35">
      <c r="A289" t="s">
        <v>473</v>
      </c>
      <c r="B289">
        <v>130</v>
      </c>
      <c r="C289">
        <v>130</v>
      </c>
      <c r="D289" s="2">
        <v>0.94</v>
      </c>
      <c r="E289" s="3">
        <v>2.9999999999999999E-30</v>
      </c>
      <c r="F289">
        <v>33.79</v>
      </c>
      <c r="G289" t="str">
        <f>HYPERLINK("https://www.ncbi.nlm.nih.gov/nucleotide/CP068007.1?report=genbank&amp;log$=nucltop&amp;blast_rank=82&amp;RID=29VHDPYR016","CP068007.1")</f>
        <v>CP068007.1</v>
      </c>
    </row>
    <row r="290" spans="1:7" x14ac:dyDescent="0.35">
      <c r="A290" s="4" t="s">
        <v>838</v>
      </c>
      <c r="B290" s="4">
        <v>110</v>
      </c>
      <c r="C290" s="4">
        <v>110</v>
      </c>
      <c r="D290" s="5">
        <v>0.77</v>
      </c>
      <c r="E290" s="6">
        <v>9.0000000000000002E-25</v>
      </c>
      <c r="F290" s="4">
        <v>33.67</v>
      </c>
      <c r="G290" s="4" t="str">
        <f>HYPERLINK("https://www.ncbi.nlm.nih.gov/nucleotide/XM_038932773.1?report=genbank&amp;log$=nucltop&amp;blast_rank=83&amp;RID=29VHDPYR016","XM_038932773.1")</f>
        <v>XM_038932773.1</v>
      </c>
    </row>
    <row r="291" spans="1:7" x14ac:dyDescent="0.35">
      <c r="A291" t="s">
        <v>269</v>
      </c>
      <c r="B291">
        <v>110</v>
      </c>
      <c r="C291">
        <v>110</v>
      </c>
      <c r="D291" s="2">
        <v>0.77</v>
      </c>
      <c r="E291" s="3">
        <v>9.9999999999999992E-25</v>
      </c>
      <c r="F291">
        <v>33.67</v>
      </c>
      <c r="G291" t="str">
        <f>HYPERLINK("https://www.ncbi.nlm.nih.gov/nucleotide/XM_028655763.1?report=genbank&amp;log$=nucltop&amp;blast_rank=84&amp;RID=29VHDPYR016","XM_028655763.1")</f>
        <v>XM_028655763.1</v>
      </c>
    </row>
    <row r="292" spans="1:7" x14ac:dyDescent="0.35">
      <c r="A292" t="s">
        <v>270</v>
      </c>
      <c r="B292">
        <v>110</v>
      </c>
      <c r="C292">
        <v>110</v>
      </c>
      <c r="D292" s="2">
        <v>0.77</v>
      </c>
      <c r="E292" s="3">
        <v>9.9999999999999992E-25</v>
      </c>
      <c r="F292">
        <v>33.67</v>
      </c>
      <c r="G292" t="str">
        <f>HYPERLINK("https://www.ncbi.nlm.nih.gov/nucleotide/XM_018534397.1?report=genbank&amp;log$=nucltop&amp;blast_rank=85&amp;RID=29VHDPYR016","XM_018534397.1")</f>
        <v>XM_018534397.1</v>
      </c>
    </row>
    <row r="293" spans="1:7" x14ac:dyDescent="0.35">
      <c r="A293" t="s">
        <v>1294</v>
      </c>
      <c r="B293">
        <v>98.2</v>
      </c>
      <c r="C293">
        <v>98.2</v>
      </c>
      <c r="D293" s="2">
        <v>0.89</v>
      </c>
      <c r="E293" s="3">
        <v>1.9999999999999999E-20</v>
      </c>
      <c r="F293">
        <v>33.619999999999997</v>
      </c>
      <c r="G293" t="str">
        <f>HYPERLINK("https://www.ncbi.nlm.nih.gov/nucleotide/XM_025600926.1?report=genbank&amp;log$=nucltop&amp;blast_rank=86&amp;RID=29VHDPYR016","XM_025600926.1")</f>
        <v>XM_025600926.1</v>
      </c>
    </row>
    <row r="294" spans="1:7" x14ac:dyDescent="0.35">
      <c r="A294" s="4" t="s">
        <v>1295</v>
      </c>
      <c r="B294" s="4">
        <v>100</v>
      </c>
      <c r="C294" s="4">
        <v>100</v>
      </c>
      <c r="D294" s="5">
        <v>0.79</v>
      </c>
      <c r="E294" s="6">
        <v>1.9999999999999999E-20</v>
      </c>
      <c r="F294" s="4">
        <v>33.5</v>
      </c>
      <c r="G294" s="4" t="str">
        <f>HYPERLINK("https://www.ncbi.nlm.nih.gov/nucleotide/XM_033734327.1?report=genbank&amp;log$=nucltop&amp;blast_rank=87&amp;RID=29VHDPYR016","XM_033734327.1")</f>
        <v>XM_033734327.1</v>
      </c>
    </row>
    <row r="295" spans="1:7" x14ac:dyDescent="0.35">
      <c r="A295" t="s">
        <v>254</v>
      </c>
      <c r="B295">
        <v>108</v>
      </c>
      <c r="C295">
        <v>108</v>
      </c>
      <c r="D295" s="2">
        <v>0.8</v>
      </c>
      <c r="E295" s="3">
        <v>1.9999999999999998E-24</v>
      </c>
      <c r="F295">
        <v>33</v>
      </c>
      <c r="G295" t="str">
        <f>HYPERLINK("https://www.ncbi.nlm.nih.gov/nucleotide/XM_018276579.1?report=genbank&amp;log$=nucltop&amp;blast_rank=88&amp;RID=29VHDPYR016","XM_018276579.1")</f>
        <v>XM_018276579.1</v>
      </c>
    </row>
    <row r="296" spans="1:7" x14ac:dyDescent="0.35">
      <c r="A296" t="s">
        <v>262</v>
      </c>
      <c r="B296">
        <v>121</v>
      </c>
      <c r="C296">
        <v>121</v>
      </c>
      <c r="D296" s="2">
        <v>0.92</v>
      </c>
      <c r="E296" s="3">
        <v>3.9999999999999999E-28</v>
      </c>
      <c r="F296">
        <v>32.909999999999997</v>
      </c>
      <c r="G296" t="str">
        <f>HYPERLINK("https://www.ncbi.nlm.nih.gov/nucleotide/XM_024881431.1?report=genbank&amp;log$=nucltop&amp;blast_rank=89&amp;RID=29VHDPYR016","XM_024881431.1")</f>
        <v>XM_024881431.1</v>
      </c>
    </row>
    <row r="297" spans="1:7" x14ac:dyDescent="0.35">
      <c r="A297" t="s">
        <v>276</v>
      </c>
      <c r="B297">
        <v>112</v>
      </c>
      <c r="C297">
        <v>112</v>
      </c>
      <c r="D297" s="2">
        <v>0.94</v>
      </c>
      <c r="E297" s="3">
        <v>6.0000000000000002E-26</v>
      </c>
      <c r="F297">
        <v>32.770000000000003</v>
      </c>
      <c r="G297" t="str">
        <f>HYPERLINK("https://www.ncbi.nlm.nih.gov/nucleotide/XM_024466619.1?report=genbank&amp;log$=nucltop&amp;blast_rank=90&amp;RID=29VHDPYR016","XM_024466619.1")</f>
        <v>XM_024466619.1</v>
      </c>
    </row>
    <row r="298" spans="1:7" x14ac:dyDescent="0.35">
      <c r="A298" t="s">
        <v>274</v>
      </c>
      <c r="B298">
        <v>112</v>
      </c>
      <c r="C298">
        <v>112</v>
      </c>
      <c r="D298" s="2">
        <v>0.86</v>
      </c>
      <c r="E298" s="3">
        <v>2.0000000000000001E-25</v>
      </c>
      <c r="F298">
        <v>32.57</v>
      </c>
      <c r="G298" t="str">
        <f>HYPERLINK("https://www.ncbi.nlm.nih.gov/nucleotide/XM_008033263.1?report=genbank&amp;log$=nucltop&amp;blast_rank=91&amp;RID=29VHDPYR016","XM_008033263.1")</f>
        <v>XM_008033263.1</v>
      </c>
    </row>
    <row r="299" spans="1:7" x14ac:dyDescent="0.35">
      <c r="A299" t="s">
        <v>191</v>
      </c>
      <c r="B299">
        <v>101</v>
      </c>
      <c r="C299">
        <v>101</v>
      </c>
      <c r="D299" s="2">
        <v>0.84</v>
      </c>
      <c r="E299" s="3">
        <v>1.9999999999999998E-21</v>
      </c>
      <c r="F299">
        <v>32.549999999999997</v>
      </c>
      <c r="G299" t="str">
        <f>HYPERLINK("https://www.ncbi.nlm.nih.gov/nucleotide/XM_016379292.1?report=genbank&amp;log$=nucltop&amp;blast_rank=92&amp;RID=29VHDPYR016","XM_016379292.1")</f>
        <v>XM_016379292.1</v>
      </c>
    </row>
    <row r="300" spans="1:7" x14ac:dyDescent="0.35">
      <c r="A300" t="s">
        <v>147</v>
      </c>
      <c r="B300">
        <v>102</v>
      </c>
      <c r="C300">
        <v>102</v>
      </c>
      <c r="D300" s="2">
        <v>0.92</v>
      </c>
      <c r="E300" s="3">
        <v>8.9999999999999997E-22</v>
      </c>
      <c r="F300">
        <v>32.08</v>
      </c>
      <c r="G300" t="str">
        <f>HYPERLINK("https://www.ncbi.nlm.nih.gov/nucleotide/XM_007741154.1?report=genbank&amp;log$=nucltop&amp;blast_rank=93&amp;RID=29VHDPYR016","XM_007741154.1")</f>
        <v>XM_007741154.1</v>
      </c>
    </row>
    <row r="301" spans="1:7" x14ac:dyDescent="0.35">
      <c r="A301" t="s">
        <v>281</v>
      </c>
      <c r="B301">
        <v>110</v>
      </c>
      <c r="C301">
        <v>110</v>
      </c>
      <c r="D301" s="2">
        <v>0.86</v>
      </c>
      <c r="E301" s="3">
        <v>1.9999999999999998E-24</v>
      </c>
      <c r="F301">
        <v>31.65</v>
      </c>
      <c r="G301" t="str">
        <f>HYPERLINK("https://www.ncbi.nlm.nih.gov/nucleotide/XM_007704195.1?report=genbank&amp;log$=nucltop&amp;blast_rank=94&amp;RID=29VHDPYR016","XM_007704195.1")</f>
        <v>XM_007704195.1</v>
      </c>
    </row>
    <row r="302" spans="1:7" x14ac:dyDescent="0.35">
      <c r="A302" t="s">
        <v>255</v>
      </c>
      <c r="B302">
        <v>107</v>
      </c>
      <c r="C302">
        <v>107</v>
      </c>
      <c r="D302" s="2">
        <v>0.91</v>
      </c>
      <c r="E302" s="3">
        <v>2.0000000000000001E-22</v>
      </c>
      <c r="F302">
        <v>31.6</v>
      </c>
      <c r="G302" t="str">
        <f>HYPERLINK("https://www.ncbi.nlm.nih.gov/nucleotide/XM_033533880.1?report=genbank&amp;log$=nucltop&amp;blast_rank=95&amp;RID=29VHDPYR016","XM_033533880.1")</f>
        <v>XM_033533880.1</v>
      </c>
    </row>
    <row r="303" spans="1:7" x14ac:dyDescent="0.35">
      <c r="A303" t="s">
        <v>948</v>
      </c>
      <c r="B303">
        <v>110</v>
      </c>
      <c r="C303">
        <v>110</v>
      </c>
      <c r="D303" s="2">
        <v>0.87</v>
      </c>
      <c r="E303" s="3">
        <v>4.9999999999999996E-25</v>
      </c>
      <c r="F303">
        <v>30.91</v>
      </c>
      <c r="G303" t="str">
        <f>HYPERLINK("https://www.ncbi.nlm.nih.gov/nucleotide/XM_014705956.1?report=genbank&amp;log$=nucltop&amp;blast_rank=96&amp;RID=29VHDPYR016","XM_014705956.1")</f>
        <v>XM_014705956.1</v>
      </c>
    </row>
    <row r="304" spans="1:7" x14ac:dyDescent="0.35">
      <c r="A304" t="s">
        <v>949</v>
      </c>
      <c r="B304">
        <v>110</v>
      </c>
      <c r="C304">
        <v>110</v>
      </c>
      <c r="D304" s="2">
        <v>0.87</v>
      </c>
      <c r="E304" s="3">
        <v>5.9999999999999995E-25</v>
      </c>
      <c r="F304">
        <v>30.91</v>
      </c>
      <c r="G304" t="str">
        <f>HYPERLINK("https://www.ncbi.nlm.nih.gov/nucleotide/XM_007710666.1?report=genbank&amp;log$=nucltop&amp;blast_rank=97&amp;RID=29VHDPYR016","XM_007710666.1")</f>
        <v>XM_007710666.1</v>
      </c>
    </row>
    <row r="305" spans="1:7" x14ac:dyDescent="0.35">
      <c r="A305" t="s">
        <v>1296</v>
      </c>
      <c r="B305">
        <v>109</v>
      </c>
      <c r="C305">
        <v>109</v>
      </c>
      <c r="D305" s="2">
        <v>0.87</v>
      </c>
      <c r="E305" s="3">
        <v>7.9999999999999994E-24</v>
      </c>
      <c r="F305">
        <v>30.45</v>
      </c>
      <c r="G305" t="str">
        <f>HYPERLINK("https://www.ncbi.nlm.nih.gov/nucleotide/XM_014224318.1?report=genbank&amp;log$=nucltop&amp;blast_rank=98&amp;RID=29VHDPYR016","XM_014224318.1")</f>
        <v>XM_014224318.1</v>
      </c>
    </row>
    <row r="306" spans="1:7" x14ac:dyDescent="0.35">
      <c r="A306" t="s">
        <v>265</v>
      </c>
      <c r="B306">
        <v>107</v>
      </c>
      <c r="C306">
        <v>107</v>
      </c>
      <c r="D306" s="2">
        <v>0.95</v>
      </c>
      <c r="E306" s="3">
        <v>7.9999999999999997E-23</v>
      </c>
      <c r="F306">
        <v>30.08</v>
      </c>
      <c r="G306" t="str">
        <f>HYPERLINK("https://www.ncbi.nlm.nih.gov/nucleotide/XM_018215251.1?report=genbank&amp;log$=nucltop&amp;blast_rank=99&amp;RID=29VHDPYR016","XM_018215251.1")</f>
        <v>XM_018215251.1</v>
      </c>
    </row>
    <row r="307" spans="1:7" x14ac:dyDescent="0.35">
      <c r="A307" t="s">
        <v>1070</v>
      </c>
      <c r="B307">
        <v>103</v>
      </c>
      <c r="C307">
        <v>103</v>
      </c>
      <c r="D307" s="2">
        <v>0.87</v>
      </c>
      <c r="E307" s="3">
        <v>2.0000000000000001E-22</v>
      </c>
      <c r="F307">
        <v>29.09</v>
      </c>
      <c r="G307" t="str">
        <f>HYPERLINK("https://www.ncbi.nlm.nih.gov/nucleotide/XM_007693331.1?report=genbank&amp;log$=nucltop&amp;blast_rank=100&amp;RID=29VHDPYR016","XM_007693331.1")</f>
        <v>XM_007693331.1</v>
      </c>
    </row>
    <row r="308" spans="1:7" x14ac:dyDescent="0.35">
      <c r="A308" s="1" t="s">
        <v>1390</v>
      </c>
    </row>
    <row r="309" spans="1:7" x14ac:dyDescent="0.35">
      <c r="A309" s="1" t="s">
        <v>2</v>
      </c>
      <c r="B309" s="1" t="s">
        <v>3</v>
      </c>
      <c r="C309" s="1" t="s">
        <v>4</v>
      </c>
      <c r="D309" s="1" t="s">
        <v>5</v>
      </c>
      <c r="E309" s="1" t="s">
        <v>6</v>
      </c>
      <c r="F309" s="1" t="s">
        <v>7</v>
      </c>
      <c r="G309" s="1" t="s">
        <v>8</v>
      </c>
    </row>
    <row r="310" spans="1:7" x14ac:dyDescent="0.35">
      <c r="A310" t="s">
        <v>1075</v>
      </c>
      <c r="B310">
        <v>243</v>
      </c>
      <c r="C310">
        <v>383</v>
      </c>
      <c r="D310" s="2">
        <v>0.92</v>
      </c>
      <c r="E310" s="3">
        <v>1.9999999999999998E-96</v>
      </c>
      <c r="F310">
        <v>93.28</v>
      </c>
      <c r="G310" t="str">
        <f>HYPERLINK("https://www.ncbi.nlm.nih.gov/nucleotide/LR732077.1?report=genbank&amp;log$=nucltop&amp;blast_rank=1&amp;RID=29VKCGPU016","LR732077.1")</f>
        <v>LR732077.1</v>
      </c>
    </row>
    <row r="311" spans="1:7" x14ac:dyDescent="0.35">
      <c r="A311" t="s">
        <v>9</v>
      </c>
      <c r="B311">
        <v>224</v>
      </c>
      <c r="C311">
        <v>957</v>
      </c>
      <c r="D311" s="2">
        <v>0.98</v>
      </c>
      <c r="E311" s="3">
        <v>2.9999999999999998E-63</v>
      </c>
      <c r="F311">
        <v>90.43</v>
      </c>
      <c r="G311" t="str">
        <f>HYPERLINK("https://www.ncbi.nlm.nih.gov/nucleotide/LR732079.1?report=genbank&amp;log$=nucltop&amp;blast_rank=2&amp;RID=29VKCGPU016","LR732079.1")</f>
        <v>LR732079.1</v>
      </c>
    </row>
    <row r="312" spans="1:7" x14ac:dyDescent="0.35">
      <c r="A312" s="4" t="s">
        <v>1082</v>
      </c>
      <c r="B312" s="4">
        <v>288</v>
      </c>
      <c r="C312" s="4">
        <v>288</v>
      </c>
      <c r="D312" s="5">
        <v>0.99</v>
      </c>
      <c r="E312" s="6">
        <v>2E-91</v>
      </c>
      <c r="F312" s="4">
        <v>57.51</v>
      </c>
      <c r="G312" s="4" t="str">
        <f>HYPERLINK("https://www.ncbi.nlm.nih.gov/nucleotide/MK309354.1?report=genbank&amp;log$=nucltop&amp;blast_rank=3&amp;RID=29VKCGPU016","MK309354.1")</f>
        <v>MK309354.1</v>
      </c>
    </row>
    <row r="313" spans="1:7" x14ac:dyDescent="0.35">
      <c r="A313" s="4" t="s">
        <v>1074</v>
      </c>
      <c r="B313" s="4">
        <v>279</v>
      </c>
      <c r="C313" s="4">
        <v>279</v>
      </c>
      <c r="D313" s="5">
        <v>0.99</v>
      </c>
      <c r="E313" s="6">
        <v>2.9999999999999999E-88</v>
      </c>
      <c r="F313" s="4">
        <v>56.17</v>
      </c>
      <c r="G313" s="4" t="str">
        <f>HYPERLINK("https://www.ncbi.nlm.nih.gov/nucleotide/XM_007383295.1?report=genbank&amp;log$=nucltop&amp;blast_rank=4&amp;RID=29VKCGPU016","XM_007383295.1")</f>
        <v>XM_007383295.1</v>
      </c>
    </row>
    <row r="314" spans="1:7" x14ac:dyDescent="0.35">
      <c r="A314" s="4" t="s">
        <v>1090</v>
      </c>
      <c r="B314" s="4">
        <v>265</v>
      </c>
      <c r="C314" s="4">
        <v>265</v>
      </c>
      <c r="D314" s="5">
        <v>1</v>
      </c>
      <c r="E314" s="6">
        <v>3.9999999999999998E-82</v>
      </c>
      <c r="F314" s="4">
        <v>54.04</v>
      </c>
      <c r="G314" s="4" t="str">
        <f>HYPERLINK("https://www.ncbi.nlm.nih.gov/nucleotide/AB573349.1?report=genbank&amp;log$=nucltop&amp;blast_rank=5&amp;RID=29VKCGPU016","AB573349.1")</f>
        <v>AB573349.1</v>
      </c>
    </row>
    <row r="315" spans="1:7" x14ac:dyDescent="0.35">
      <c r="A315" t="s">
        <v>1081</v>
      </c>
      <c r="B315">
        <v>261</v>
      </c>
      <c r="C315">
        <v>261</v>
      </c>
      <c r="D315" s="2">
        <v>1</v>
      </c>
      <c r="E315" s="3">
        <v>9.9999999999999996E-81</v>
      </c>
      <c r="F315">
        <v>54.04</v>
      </c>
      <c r="G315" t="str">
        <f>HYPERLINK("https://www.ncbi.nlm.nih.gov/nucleotide/XM_024478475.1?report=genbank&amp;log$=nucltop&amp;blast_rank=6&amp;RID=29VKCGPU016","XM_024478475.1")</f>
        <v>XM_024478475.1</v>
      </c>
    </row>
    <row r="316" spans="1:7" x14ac:dyDescent="0.35">
      <c r="A316" s="4" t="s">
        <v>1077</v>
      </c>
      <c r="B316" s="4">
        <v>257</v>
      </c>
      <c r="C316" s="4">
        <v>257</v>
      </c>
      <c r="D316" s="5">
        <v>0.98</v>
      </c>
      <c r="E316" s="6">
        <v>3E-79</v>
      </c>
      <c r="F316" s="4">
        <v>52.79</v>
      </c>
      <c r="G316" s="4" t="str">
        <f>HYPERLINK("https://www.ncbi.nlm.nih.gov/nucleotide/XM_007386682.1?report=genbank&amp;log$=nucltop&amp;blast_rank=7&amp;RID=29VKCGPU016","XM_007386682.1")</f>
        <v>XM_007386682.1</v>
      </c>
    </row>
    <row r="317" spans="1:7" x14ac:dyDescent="0.35">
      <c r="A317" s="4" t="s">
        <v>1085</v>
      </c>
      <c r="B317" s="4">
        <v>242</v>
      </c>
      <c r="C317" s="4">
        <v>242</v>
      </c>
      <c r="D317" s="5">
        <v>0.95</v>
      </c>
      <c r="E317" s="6">
        <v>4E-73</v>
      </c>
      <c r="F317" s="4">
        <v>49.17</v>
      </c>
      <c r="G317" s="4" t="str">
        <f>HYPERLINK("https://www.ncbi.nlm.nih.gov/nucleotide/XM_037362933.1?report=genbank&amp;log$=nucltop&amp;blast_rank=8&amp;RID=29VKCGPU016","XM_037362933.1")</f>
        <v>XM_037362933.1</v>
      </c>
    </row>
    <row r="318" spans="1:7" x14ac:dyDescent="0.35">
      <c r="A318" s="4" t="s">
        <v>1297</v>
      </c>
      <c r="B318" s="4">
        <v>206</v>
      </c>
      <c r="C318" s="4">
        <v>206</v>
      </c>
      <c r="D318" s="5">
        <v>0.9</v>
      </c>
      <c r="E318" s="6">
        <v>1.9999999999999999E-60</v>
      </c>
      <c r="F318" s="4">
        <v>48.84</v>
      </c>
      <c r="G318" s="4" t="str">
        <f>HYPERLINK("https://www.ncbi.nlm.nih.gov/nucleotide/XM_007383296.1?report=genbank&amp;log$=nucltop&amp;blast_rank=9&amp;RID=29VKCGPU016","XM_007383296.1")</f>
        <v>XM_007383296.1</v>
      </c>
    </row>
    <row r="319" spans="1:7" x14ac:dyDescent="0.35">
      <c r="A319" t="s">
        <v>1079</v>
      </c>
      <c r="B319">
        <v>229</v>
      </c>
      <c r="C319">
        <v>229</v>
      </c>
      <c r="D319" s="2">
        <v>0.98</v>
      </c>
      <c r="E319" s="3">
        <v>1.0000000000000001E-68</v>
      </c>
      <c r="F319">
        <v>46.96</v>
      </c>
      <c r="G319" t="str">
        <f>HYPERLINK("https://www.ncbi.nlm.nih.gov/nucleotide/XM_003029621.2?report=genbank&amp;log$=nucltop&amp;blast_rank=10&amp;RID=29VKCGPU016","XM_003029621.2")</f>
        <v>XM_003029621.2</v>
      </c>
    </row>
    <row r="320" spans="1:7" x14ac:dyDescent="0.35">
      <c r="A320" s="4" t="s">
        <v>1094</v>
      </c>
      <c r="B320" s="4">
        <v>199</v>
      </c>
      <c r="C320" s="4">
        <v>199</v>
      </c>
      <c r="D320" s="5">
        <v>0.91</v>
      </c>
      <c r="E320" s="6">
        <v>1.9999999999999999E-57</v>
      </c>
      <c r="F320" s="4">
        <v>46.54</v>
      </c>
      <c r="G320" s="4" t="str">
        <f>HYPERLINK("https://www.ncbi.nlm.nih.gov/nucleotide/XM_007388772.1?report=genbank&amp;log$=nucltop&amp;blast_rank=11&amp;RID=29VKCGPU016","XM_007388772.1")</f>
        <v>XM_007388772.1</v>
      </c>
    </row>
    <row r="321" spans="1:7" x14ac:dyDescent="0.35">
      <c r="A321" t="s">
        <v>1078</v>
      </c>
      <c r="B321">
        <v>223</v>
      </c>
      <c r="C321">
        <v>223</v>
      </c>
      <c r="D321" s="2">
        <v>0.97</v>
      </c>
      <c r="E321" s="3">
        <v>3.9999999999999999E-66</v>
      </c>
      <c r="F321">
        <v>46.52</v>
      </c>
      <c r="G321" t="str">
        <f>HYPERLINK("https://www.ncbi.nlm.nih.gov/nucleotide/XM_003029216.1?report=genbank&amp;log$=nucltop&amp;blast_rank=12&amp;RID=29VKCGPU016","XM_003029216.1")</f>
        <v>XM_003029216.1</v>
      </c>
    </row>
    <row r="322" spans="1:7" x14ac:dyDescent="0.35">
      <c r="A322" s="4" t="s">
        <v>1076</v>
      </c>
      <c r="B322" s="4">
        <v>210</v>
      </c>
      <c r="C322" s="4">
        <v>210</v>
      </c>
      <c r="D322" s="5">
        <v>0.95</v>
      </c>
      <c r="E322" s="6">
        <v>2.0000000000000001E-61</v>
      </c>
      <c r="F322" s="4">
        <v>45.29</v>
      </c>
      <c r="G322" s="4" t="str">
        <f>HYPERLINK("https://www.ncbi.nlm.nih.gov/nucleotide/XM_009553540.1?report=genbank&amp;log$=nucltop&amp;blast_rank=13&amp;RID=29VKCGPU016","XM_009553540.1")</f>
        <v>XM_009553540.1</v>
      </c>
    </row>
    <row r="323" spans="1:7" x14ac:dyDescent="0.35">
      <c r="A323" s="4" t="s">
        <v>1111</v>
      </c>
      <c r="B323" s="4">
        <v>221</v>
      </c>
      <c r="C323" s="4">
        <v>221</v>
      </c>
      <c r="D323" s="5">
        <v>0.99</v>
      </c>
      <c r="E323" s="6">
        <v>8.9999999999999995E-65</v>
      </c>
      <c r="F323" s="4">
        <v>44.87</v>
      </c>
      <c r="G323" s="4" t="str">
        <f>HYPERLINK("https://www.ncbi.nlm.nih.gov/nucleotide/XM_007870553.1?report=genbank&amp;log$=nucltop&amp;blast_rank=14&amp;RID=29VKCGPU016","XM_007870553.1")</f>
        <v>XM_007870553.1</v>
      </c>
    </row>
    <row r="324" spans="1:7" x14ac:dyDescent="0.35">
      <c r="A324" s="4" t="s">
        <v>1096</v>
      </c>
      <c r="B324" s="4">
        <v>220</v>
      </c>
      <c r="C324" s="4">
        <v>220</v>
      </c>
      <c r="D324" s="5">
        <v>0.98</v>
      </c>
      <c r="E324" s="6">
        <v>2.0000000000000001E-63</v>
      </c>
      <c r="F324" s="4">
        <v>44.21</v>
      </c>
      <c r="G324" s="4" t="str">
        <f>HYPERLINK("https://www.ncbi.nlm.nih.gov/nucleotide/XM_007386719.1?report=genbank&amp;log$=nucltop&amp;blast_rank=15&amp;RID=29VKCGPU016","XM_007386719.1")</f>
        <v>XM_007386719.1</v>
      </c>
    </row>
    <row r="325" spans="1:7" x14ac:dyDescent="0.35">
      <c r="A325" s="4" t="s">
        <v>1095</v>
      </c>
      <c r="B325" s="4">
        <v>210</v>
      </c>
      <c r="C325" s="4">
        <v>210</v>
      </c>
      <c r="D325" s="5">
        <v>0.99</v>
      </c>
      <c r="E325" s="6">
        <v>4.0000000000000002E-61</v>
      </c>
      <c r="F325" s="4">
        <v>43.64</v>
      </c>
      <c r="G325" s="4" t="str">
        <f>HYPERLINK("https://www.ncbi.nlm.nih.gov/nucleotide/XM_007388773.1?report=genbank&amp;log$=nucltop&amp;blast_rank=16&amp;RID=29VKCGPU016","XM_007388773.1")</f>
        <v>XM_007388773.1</v>
      </c>
    </row>
    <row r="326" spans="1:7" x14ac:dyDescent="0.35">
      <c r="A326" t="s">
        <v>1108</v>
      </c>
      <c r="B326">
        <v>199</v>
      </c>
      <c r="C326">
        <v>199</v>
      </c>
      <c r="D326" s="2">
        <v>0.98</v>
      </c>
      <c r="E326" s="3">
        <v>5.0000000000000002E-57</v>
      </c>
      <c r="F326">
        <v>42.24</v>
      </c>
      <c r="G326" t="str">
        <f>HYPERLINK("https://www.ncbi.nlm.nih.gov/nucleotide/XM_003034298.2?report=genbank&amp;log$=nucltop&amp;blast_rank=17&amp;RID=29VKCGPU016","XM_003034298.2")</f>
        <v>XM_003034298.2</v>
      </c>
    </row>
    <row r="327" spans="1:7" x14ac:dyDescent="0.35">
      <c r="A327" t="s">
        <v>1113</v>
      </c>
      <c r="B327">
        <v>159</v>
      </c>
      <c r="C327">
        <v>376</v>
      </c>
      <c r="D327" s="2">
        <v>0.96</v>
      </c>
      <c r="E327" s="3">
        <v>9.9999999999999994E-50</v>
      </c>
      <c r="F327">
        <v>41.76</v>
      </c>
      <c r="G327" t="str">
        <f>HYPERLINK("https://www.ncbi.nlm.nih.gov/nucleotide/MT277003.1?report=genbank&amp;log$=nucltop&amp;blast_rank=18&amp;RID=29VKCGPU016","MT277003.1")</f>
        <v>MT277003.1</v>
      </c>
    </row>
    <row r="328" spans="1:7" x14ac:dyDescent="0.35">
      <c r="A328" t="s">
        <v>1117</v>
      </c>
      <c r="B328">
        <v>185</v>
      </c>
      <c r="C328">
        <v>185</v>
      </c>
      <c r="D328" s="2">
        <v>0.98</v>
      </c>
      <c r="E328" s="3">
        <v>7.0000000000000001E-52</v>
      </c>
      <c r="F328">
        <v>40.340000000000003</v>
      </c>
      <c r="G328" t="str">
        <f>HYPERLINK("https://www.ncbi.nlm.nih.gov/nucleotide/XM_003029618.1?report=genbank&amp;log$=nucltop&amp;blast_rank=19&amp;RID=29VKCGPU016","XM_003029618.1")</f>
        <v>XM_003029618.1</v>
      </c>
    </row>
    <row r="329" spans="1:7" x14ac:dyDescent="0.35">
      <c r="A329" t="s">
        <v>1298</v>
      </c>
      <c r="B329">
        <v>164</v>
      </c>
      <c r="C329">
        <v>256</v>
      </c>
      <c r="D329" s="2">
        <v>0.98</v>
      </c>
      <c r="E329" s="3">
        <v>2.0000000000000001E-42</v>
      </c>
      <c r="F329">
        <v>40.299999999999997</v>
      </c>
      <c r="G329" t="str">
        <f>HYPERLINK("https://www.ncbi.nlm.nih.gov/nucleotide/AP024446.1?report=genbank&amp;log$=nucltop&amp;blast_rank=20&amp;RID=29VKCGPU016","AP024446.1")</f>
        <v>AP024446.1</v>
      </c>
    </row>
    <row r="330" spans="1:7" x14ac:dyDescent="0.35">
      <c r="A330" t="s">
        <v>1101</v>
      </c>
      <c r="B330">
        <v>210</v>
      </c>
      <c r="C330">
        <v>210</v>
      </c>
      <c r="D330" s="2">
        <v>0.98</v>
      </c>
      <c r="E330" s="3">
        <v>2.0000000000000001E-61</v>
      </c>
      <c r="F330">
        <v>40.25</v>
      </c>
      <c r="G330" t="str">
        <f>HYPERLINK("https://www.ncbi.nlm.nih.gov/nucleotide/XM_003029221.1?report=genbank&amp;log$=nucltop&amp;blast_rank=21&amp;RID=29VKCGPU016","XM_003029221.1")</f>
        <v>XM_003029221.1</v>
      </c>
    </row>
    <row r="331" spans="1:7" x14ac:dyDescent="0.35">
      <c r="A331" t="s">
        <v>1299</v>
      </c>
      <c r="B331">
        <v>171</v>
      </c>
      <c r="C331">
        <v>171</v>
      </c>
      <c r="D331" s="2">
        <v>0.9</v>
      </c>
      <c r="E331" s="3">
        <v>7.9999999999999998E-47</v>
      </c>
      <c r="F331">
        <v>39.72</v>
      </c>
      <c r="G331" t="str">
        <f>HYPERLINK("https://www.ncbi.nlm.nih.gov/nucleotide/XM_035494968.1?report=genbank&amp;log$=nucltop&amp;blast_rank=22&amp;RID=29VKCGPU016","XM_035494968.1")</f>
        <v>XM_035494968.1</v>
      </c>
    </row>
    <row r="332" spans="1:7" x14ac:dyDescent="0.35">
      <c r="A332" t="s">
        <v>1300</v>
      </c>
      <c r="B332">
        <v>160</v>
      </c>
      <c r="C332">
        <v>160</v>
      </c>
      <c r="D332" s="2">
        <v>0.81</v>
      </c>
      <c r="E332" s="3">
        <v>6.0000000000000005E-42</v>
      </c>
      <c r="F332">
        <v>39.49</v>
      </c>
      <c r="G332" t="str">
        <f>HYPERLINK("https://www.ncbi.nlm.nih.gov/nucleotide/MF989996.1?report=genbank&amp;log$=nucltop&amp;blast_rank=23&amp;RID=29VKCGPU016","MF989996.1")</f>
        <v>MF989996.1</v>
      </c>
    </row>
    <row r="333" spans="1:7" x14ac:dyDescent="0.35">
      <c r="A333" t="s">
        <v>1301</v>
      </c>
      <c r="B333">
        <v>160</v>
      </c>
      <c r="C333">
        <v>160</v>
      </c>
      <c r="D333" s="2">
        <v>0.81</v>
      </c>
      <c r="E333" s="3">
        <v>5.9999999999999998E-41</v>
      </c>
      <c r="F333">
        <v>39.49</v>
      </c>
      <c r="G333" t="str">
        <f>HYPERLINK("https://www.ncbi.nlm.nih.gov/nucleotide/MH388470.1?report=genbank&amp;log$=nucltop&amp;blast_rank=24&amp;RID=29VKCGPU016","MH388470.1")</f>
        <v>MH388470.1</v>
      </c>
    </row>
    <row r="334" spans="1:7" x14ac:dyDescent="0.35">
      <c r="A334" t="s">
        <v>1110</v>
      </c>
      <c r="B334">
        <v>191</v>
      </c>
      <c r="C334">
        <v>191</v>
      </c>
      <c r="D334" s="2">
        <v>0.98</v>
      </c>
      <c r="E334" s="3">
        <v>8.0000000000000002E-54</v>
      </c>
      <c r="F334">
        <v>39.200000000000003</v>
      </c>
      <c r="G334" t="str">
        <f>HYPERLINK("https://www.ncbi.nlm.nih.gov/nucleotide/XM_003033724.1?report=genbank&amp;log$=nucltop&amp;blast_rank=25&amp;RID=29VKCGPU016","XM_003033724.1")</f>
        <v>XM_003033724.1</v>
      </c>
    </row>
    <row r="335" spans="1:7" x14ac:dyDescent="0.35">
      <c r="A335" s="4" t="s">
        <v>1302</v>
      </c>
      <c r="B335" s="4">
        <v>182</v>
      </c>
      <c r="C335" s="4">
        <v>182</v>
      </c>
      <c r="D335" s="5">
        <v>0.98</v>
      </c>
      <c r="E335" s="6">
        <v>2E-50</v>
      </c>
      <c r="F335" s="4">
        <v>38.96</v>
      </c>
      <c r="G335" s="4" t="str">
        <f>HYPERLINK("https://www.ncbi.nlm.nih.gov/nucleotide/XM_007310213.1?report=genbank&amp;log$=nucltop&amp;blast_rank=26&amp;RID=29VKCGPU016","XM_007310213.1")</f>
        <v>XM_007310213.1</v>
      </c>
    </row>
    <row r="336" spans="1:7" x14ac:dyDescent="0.35">
      <c r="A336" s="4" t="s">
        <v>1303</v>
      </c>
      <c r="B336" s="4">
        <v>169</v>
      </c>
      <c r="C336" s="4">
        <v>169</v>
      </c>
      <c r="D336" s="5">
        <v>0.99</v>
      </c>
      <c r="E336" s="6">
        <v>2E-45</v>
      </c>
      <c r="F336" s="4">
        <v>38.72</v>
      </c>
      <c r="G336" s="4" t="str">
        <f>HYPERLINK("https://www.ncbi.nlm.nih.gov/nucleotide/XM_033578251.1?report=genbank&amp;log$=nucltop&amp;blast_rank=27&amp;RID=29VKCGPU016","XM_033578251.1")</f>
        <v>XM_033578251.1</v>
      </c>
    </row>
    <row r="337" spans="1:7" x14ac:dyDescent="0.35">
      <c r="A337" s="4" t="s">
        <v>1109</v>
      </c>
      <c r="B337" s="4">
        <v>196</v>
      </c>
      <c r="C337" s="4">
        <v>332</v>
      </c>
      <c r="D337" s="5">
        <v>0.99</v>
      </c>
      <c r="E337" s="6">
        <v>3.0000000000000001E-54</v>
      </c>
      <c r="F337" s="4">
        <v>38.36</v>
      </c>
      <c r="G337" s="4" t="str">
        <f>HYPERLINK("https://www.ncbi.nlm.nih.gov/nucleotide/XM_007384198.1?report=genbank&amp;log$=nucltop&amp;blast_rank=28&amp;RID=29VKCGPU016","XM_007384198.1")</f>
        <v>XM_007384198.1</v>
      </c>
    </row>
    <row r="338" spans="1:7" x14ac:dyDescent="0.35">
      <c r="A338" t="s">
        <v>1304</v>
      </c>
      <c r="B338">
        <v>187</v>
      </c>
      <c r="C338">
        <v>187</v>
      </c>
      <c r="D338" s="2">
        <v>0.98</v>
      </c>
      <c r="E338" s="3">
        <v>3E-52</v>
      </c>
      <c r="F338">
        <v>38.1</v>
      </c>
      <c r="G338" t="str">
        <f>HYPERLINK("https://www.ncbi.nlm.nih.gov/nucleotide/XM_036780721.1?report=genbank&amp;log$=nucltop&amp;blast_rank=29&amp;RID=29VKCGPU016","XM_036780721.1")</f>
        <v>XM_036780721.1</v>
      </c>
    </row>
    <row r="339" spans="1:7" x14ac:dyDescent="0.35">
      <c r="A339" s="4" t="s">
        <v>1305</v>
      </c>
      <c r="B339" s="4">
        <v>182</v>
      </c>
      <c r="C339" s="4">
        <v>182</v>
      </c>
      <c r="D339" s="5">
        <v>0.98</v>
      </c>
      <c r="E339" s="6">
        <v>1E-50</v>
      </c>
      <c r="F339" s="4">
        <v>37.93</v>
      </c>
      <c r="G339" s="4" t="str">
        <f>HYPERLINK("https://www.ncbi.nlm.nih.gov/nucleotide/XM_007385794.1?report=genbank&amp;log$=nucltop&amp;blast_rank=30&amp;RID=29VKCGPU016","XM_007385794.1")</f>
        <v>XM_007385794.1</v>
      </c>
    </row>
    <row r="340" spans="1:7" x14ac:dyDescent="0.35">
      <c r="A340" t="s">
        <v>1306</v>
      </c>
      <c r="B340">
        <v>168</v>
      </c>
      <c r="C340">
        <v>168</v>
      </c>
      <c r="D340" s="2">
        <v>0.95</v>
      </c>
      <c r="E340" s="3">
        <v>3.0000000000000002E-44</v>
      </c>
      <c r="F340">
        <v>37.89</v>
      </c>
      <c r="G340" t="str">
        <f>HYPERLINK("https://www.ncbi.nlm.nih.gov/nucleotide/XM_018146425.1?report=genbank&amp;log$=nucltop&amp;blast_rank=31&amp;RID=29VKCGPU016","XM_018146425.1")</f>
        <v>XM_018146425.1</v>
      </c>
    </row>
    <row r="341" spans="1:7" x14ac:dyDescent="0.35">
      <c r="A341" t="s">
        <v>231</v>
      </c>
      <c r="B341">
        <v>165</v>
      </c>
      <c r="C341">
        <v>165</v>
      </c>
      <c r="D341" s="2">
        <v>0.87</v>
      </c>
      <c r="E341" s="3">
        <v>6.0000000000000005E-44</v>
      </c>
      <c r="F341">
        <v>37.799999999999997</v>
      </c>
      <c r="G341" t="str">
        <f>HYPERLINK("https://www.ncbi.nlm.nih.gov/nucleotide/XM_011129484.1?report=genbank&amp;log$=nucltop&amp;blast_rank=32&amp;RID=29VKCGPU016","XM_011129484.1")</f>
        <v>XM_011129484.1</v>
      </c>
    </row>
    <row r="342" spans="1:7" x14ac:dyDescent="0.35">
      <c r="A342" s="4" t="s">
        <v>1098</v>
      </c>
      <c r="B342" s="4">
        <v>187</v>
      </c>
      <c r="C342" s="4">
        <v>187</v>
      </c>
      <c r="D342" s="5">
        <v>0.98</v>
      </c>
      <c r="E342" s="6">
        <v>2E-52</v>
      </c>
      <c r="F342" s="4">
        <v>37.770000000000003</v>
      </c>
      <c r="G342" s="4" t="str">
        <f>HYPERLINK("https://www.ncbi.nlm.nih.gov/nucleotide/XM_007386729.1?report=genbank&amp;log$=nucltop&amp;blast_rank=33&amp;RID=29VKCGPU016","XM_007386729.1")</f>
        <v>XM_007386729.1</v>
      </c>
    </row>
    <row r="343" spans="1:7" x14ac:dyDescent="0.35">
      <c r="A343" t="s">
        <v>148</v>
      </c>
      <c r="B343">
        <v>163</v>
      </c>
      <c r="C343">
        <v>163</v>
      </c>
      <c r="D343" s="2">
        <v>0.95</v>
      </c>
      <c r="E343" s="3">
        <v>2.0000000000000002E-43</v>
      </c>
      <c r="F343">
        <v>37.61</v>
      </c>
      <c r="G343" t="str">
        <f>HYPERLINK("https://www.ncbi.nlm.nih.gov/nucleotide/XM_016766423.1?report=genbank&amp;log$=nucltop&amp;blast_rank=34&amp;RID=29VKCGPU016","XM_016766423.1")</f>
        <v>XM_016766423.1</v>
      </c>
    </row>
    <row r="344" spans="1:7" x14ac:dyDescent="0.35">
      <c r="A344" s="4" t="s">
        <v>1097</v>
      </c>
      <c r="B344" s="4">
        <v>177</v>
      </c>
      <c r="C344" s="4">
        <v>177</v>
      </c>
      <c r="D344" s="5">
        <v>0.99</v>
      </c>
      <c r="E344" s="6">
        <v>9.9999999999999997E-49</v>
      </c>
      <c r="F344" s="4">
        <v>37.61</v>
      </c>
      <c r="G344" s="4" t="str">
        <f>HYPERLINK("https://www.ncbi.nlm.nih.gov/nucleotide/XM_007386726.1?report=genbank&amp;log$=nucltop&amp;blast_rank=35&amp;RID=29VKCGPU016","XM_007386726.1")</f>
        <v>XM_007386726.1</v>
      </c>
    </row>
    <row r="345" spans="1:7" x14ac:dyDescent="0.35">
      <c r="A345" t="s">
        <v>1307</v>
      </c>
      <c r="B345">
        <v>167</v>
      </c>
      <c r="C345">
        <v>167</v>
      </c>
      <c r="D345" s="2">
        <v>1</v>
      </c>
      <c r="E345" s="3">
        <v>7E-45</v>
      </c>
      <c r="F345">
        <v>37.549999999999997</v>
      </c>
      <c r="G345" t="str">
        <f>HYPERLINK("https://www.ncbi.nlm.nih.gov/nucleotide/XM_016373501.1?report=genbank&amp;log$=nucltop&amp;blast_rank=36&amp;RID=29VKCGPU016","XM_016373501.1")</f>
        <v>XM_016373501.1</v>
      </c>
    </row>
    <row r="346" spans="1:7" x14ac:dyDescent="0.35">
      <c r="A346" t="s">
        <v>147</v>
      </c>
      <c r="B346">
        <v>178</v>
      </c>
      <c r="C346">
        <v>178</v>
      </c>
      <c r="D346" s="2">
        <v>0.98</v>
      </c>
      <c r="E346" s="3">
        <v>7.9999999999999995E-49</v>
      </c>
      <c r="F346">
        <v>37.5</v>
      </c>
      <c r="G346" t="str">
        <f>HYPERLINK("https://www.ncbi.nlm.nih.gov/nucleotide/XM_007741039.1?report=genbank&amp;log$=nucltop&amp;blast_rank=37&amp;RID=29VKCGPU016","XM_007741039.1")</f>
        <v>XM_007741039.1</v>
      </c>
    </row>
    <row r="347" spans="1:7" x14ac:dyDescent="0.35">
      <c r="A347" s="4" t="s">
        <v>1308</v>
      </c>
      <c r="B347" s="4">
        <v>167</v>
      </c>
      <c r="C347" s="4">
        <v>167</v>
      </c>
      <c r="D347" s="5">
        <v>0.98</v>
      </c>
      <c r="E347" s="6">
        <v>9.9999999999999995E-45</v>
      </c>
      <c r="F347" s="4">
        <v>37.229999999999997</v>
      </c>
      <c r="G347" s="4" t="str">
        <f>HYPERLINK("https://www.ncbi.nlm.nih.gov/nucleotide/XM_033669628.1?report=genbank&amp;log$=nucltop&amp;blast_rank=38&amp;RID=29VKCGPU016","XM_033669628.1")</f>
        <v>XM_033669628.1</v>
      </c>
    </row>
    <row r="348" spans="1:7" x14ac:dyDescent="0.35">
      <c r="A348" t="s">
        <v>174</v>
      </c>
      <c r="B348">
        <v>172</v>
      </c>
      <c r="C348">
        <v>172</v>
      </c>
      <c r="D348" s="2">
        <v>0.98</v>
      </c>
      <c r="E348" s="3">
        <v>6.9999999999999996E-47</v>
      </c>
      <c r="F348">
        <v>37.07</v>
      </c>
      <c r="G348" t="str">
        <f>HYPERLINK("https://www.ncbi.nlm.nih.gov/nucleotide/XM_016780897.1?report=genbank&amp;log$=nucltop&amp;blast_rank=39&amp;RID=29VKCGPU016","XM_016780897.1")</f>
        <v>XM_016780897.1</v>
      </c>
    </row>
    <row r="349" spans="1:7" x14ac:dyDescent="0.35">
      <c r="A349" t="s">
        <v>1309</v>
      </c>
      <c r="B349">
        <v>182</v>
      </c>
      <c r="C349">
        <v>182</v>
      </c>
      <c r="D349" s="2">
        <v>0.98</v>
      </c>
      <c r="E349" s="3">
        <v>9.9999999999999997E-49</v>
      </c>
      <c r="F349">
        <v>37.049999999999997</v>
      </c>
      <c r="G349" t="str">
        <f>HYPERLINK("https://www.ncbi.nlm.nih.gov/nucleotide/CP055903.1?report=genbank&amp;log$=nucltop&amp;blast_rank=40&amp;RID=29VKCGPU016","CP055903.1")</f>
        <v>CP055903.1</v>
      </c>
    </row>
    <row r="350" spans="1:7" x14ac:dyDescent="0.35">
      <c r="A350" t="s">
        <v>1310</v>
      </c>
      <c r="B350">
        <v>179</v>
      </c>
      <c r="C350">
        <v>179</v>
      </c>
      <c r="D350" s="2">
        <v>0.98</v>
      </c>
      <c r="E350" s="3">
        <v>9.9999999999999997E-48</v>
      </c>
      <c r="F350">
        <v>36.96</v>
      </c>
      <c r="G350" t="str">
        <f>HYPERLINK("https://www.ncbi.nlm.nih.gov/nucleotide/XM_036772182.1?report=genbank&amp;log$=nucltop&amp;blast_rank=41&amp;RID=29VKCGPU016","XM_036772182.1")</f>
        <v>XM_036772182.1</v>
      </c>
    </row>
    <row r="351" spans="1:7" x14ac:dyDescent="0.35">
      <c r="A351" t="s">
        <v>1311</v>
      </c>
      <c r="B351">
        <v>163</v>
      </c>
      <c r="C351">
        <v>163</v>
      </c>
      <c r="D351" s="2">
        <v>0.96</v>
      </c>
      <c r="E351" s="3">
        <v>4.0000000000000003E-43</v>
      </c>
      <c r="F351">
        <v>36.96</v>
      </c>
      <c r="G351" t="str">
        <f>HYPERLINK("https://www.ncbi.nlm.nih.gov/nucleotide/XM_018142241.1?report=genbank&amp;log$=nucltop&amp;blast_rank=42&amp;RID=29VKCGPU016","XM_018142241.1")</f>
        <v>XM_018142241.1</v>
      </c>
    </row>
    <row r="352" spans="1:7" x14ac:dyDescent="0.35">
      <c r="A352" s="4" t="s">
        <v>1312</v>
      </c>
      <c r="B352" s="4">
        <v>163</v>
      </c>
      <c r="C352" s="4">
        <v>163</v>
      </c>
      <c r="D352" s="5">
        <v>0.99</v>
      </c>
      <c r="E352" s="6">
        <v>5.0000000000000002E-43</v>
      </c>
      <c r="F352" s="4">
        <v>36.86</v>
      </c>
      <c r="G352" s="4" t="str">
        <f>HYPERLINK("https://www.ncbi.nlm.nih.gov/nucleotide/XM_025722786.1?report=genbank&amp;log$=nucltop&amp;blast_rank=43&amp;RID=29VKCGPU016","XM_025722786.1")</f>
        <v>XM_025722786.1</v>
      </c>
    </row>
    <row r="353" spans="1:7" x14ac:dyDescent="0.35">
      <c r="A353" t="s">
        <v>1313</v>
      </c>
      <c r="B353">
        <v>161</v>
      </c>
      <c r="C353">
        <v>161</v>
      </c>
      <c r="D353" s="2">
        <v>0.95</v>
      </c>
      <c r="E353" s="3">
        <v>2.0000000000000001E-42</v>
      </c>
      <c r="F353">
        <v>36.799999999999997</v>
      </c>
      <c r="G353" t="str">
        <f>HYPERLINK("https://www.ncbi.nlm.nih.gov/nucleotide/XM_002560417.1?report=genbank&amp;log$=nucltop&amp;blast_rank=44&amp;RID=29VKCGPU016","XM_002560417.1")</f>
        <v>XM_002560417.1</v>
      </c>
    </row>
    <row r="354" spans="1:7" x14ac:dyDescent="0.35">
      <c r="A354" t="s">
        <v>1118</v>
      </c>
      <c r="B354">
        <v>164</v>
      </c>
      <c r="C354">
        <v>318</v>
      </c>
      <c r="D354" s="2">
        <v>0.98</v>
      </c>
      <c r="E354" s="3">
        <v>2.0000000000000001E-42</v>
      </c>
      <c r="F354">
        <v>36.799999999999997</v>
      </c>
      <c r="G354" t="str">
        <f>HYPERLINK("https://www.ncbi.nlm.nih.gov/nucleotide/XM_003034297.1?report=genbank&amp;log$=nucltop&amp;blast_rank=45&amp;RID=29VKCGPU016","XM_003034297.1")</f>
        <v>XM_003034297.1</v>
      </c>
    </row>
    <row r="355" spans="1:7" x14ac:dyDescent="0.35">
      <c r="A355" t="s">
        <v>147</v>
      </c>
      <c r="B355">
        <v>160</v>
      </c>
      <c r="C355">
        <v>160</v>
      </c>
      <c r="D355" s="2">
        <v>0.95</v>
      </c>
      <c r="E355" s="3">
        <v>4.0000000000000002E-42</v>
      </c>
      <c r="F355">
        <v>36.729999999999997</v>
      </c>
      <c r="G355" t="str">
        <f>HYPERLINK("https://www.ncbi.nlm.nih.gov/nucleotide/XM_007752171.1?report=genbank&amp;log$=nucltop&amp;blast_rank=46&amp;RID=29VKCGPU016","XM_007752171.1")</f>
        <v>XM_007752171.1</v>
      </c>
    </row>
    <row r="356" spans="1:7" x14ac:dyDescent="0.35">
      <c r="A356" t="s">
        <v>1314</v>
      </c>
      <c r="B356">
        <v>159</v>
      </c>
      <c r="C356">
        <v>159</v>
      </c>
      <c r="D356" s="2">
        <v>0.94</v>
      </c>
      <c r="E356" s="3">
        <v>1.9999999999999999E-40</v>
      </c>
      <c r="F356">
        <v>36.68</v>
      </c>
      <c r="G356" t="str">
        <f>HYPERLINK("https://www.ncbi.nlm.nih.gov/nucleotide/AM920431.1?report=genbank&amp;log$=nucltop&amp;blast_rank=47&amp;RID=29VKCGPU016","AM920431.1")</f>
        <v>AM920431.1</v>
      </c>
    </row>
    <row r="357" spans="1:7" x14ac:dyDescent="0.35">
      <c r="A357" t="s">
        <v>146</v>
      </c>
      <c r="B357">
        <v>171</v>
      </c>
      <c r="C357">
        <v>171</v>
      </c>
      <c r="D357" s="2">
        <v>0.98</v>
      </c>
      <c r="E357" s="3">
        <v>4.0000000000000001E-46</v>
      </c>
      <c r="F357">
        <v>36.64</v>
      </c>
      <c r="G357" t="str">
        <f>HYPERLINK("https://www.ncbi.nlm.nih.gov/nucleotide/XM_016392956.1?report=genbank&amp;log$=nucltop&amp;blast_rank=48&amp;RID=29VKCGPU016","XM_016392956.1")</f>
        <v>XM_016392956.1</v>
      </c>
    </row>
    <row r="358" spans="1:7" x14ac:dyDescent="0.35">
      <c r="A358" t="s">
        <v>1315</v>
      </c>
      <c r="B358">
        <v>169</v>
      </c>
      <c r="C358">
        <v>169</v>
      </c>
      <c r="D358" s="2">
        <v>0.98</v>
      </c>
      <c r="E358" s="3">
        <v>2E-45</v>
      </c>
      <c r="F358">
        <v>36.64</v>
      </c>
      <c r="G358" t="str">
        <f>HYPERLINK("https://www.ncbi.nlm.nih.gov/nucleotide/XM_018839787.1?report=genbank&amp;log$=nucltop&amp;blast_rank=49&amp;RID=29VKCGPU016","XM_018839787.1")</f>
        <v>XM_018839787.1</v>
      </c>
    </row>
    <row r="359" spans="1:7" x14ac:dyDescent="0.35">
      <c r="A359" t="s">
        <v>19</v>
      </c>
      <c r="B359">
        <v>171</v>
      </c>
      <c r="C359">
        <v>171</v>
      </c>
      <c r="D359" s="2">
        <v>0.97</v>
      </c>
      <c r="E359" s="3">
        <v>4.9999999999999999E-46</v>
      </c>
      <c r="F359">
        <v>36.520000000000003</v>
      </c>
      <c r="G359" t="str">
        <f>HYPERLINK("https://www.ncbi.nlm.nih.gov/nucleotide/XM_001885674.1?report=genbank&amp;log$=nucltop&amp;blast_rank=50&amp;RID=29VKCGPU016","XM_001885674.1")</f>
        <v>XM_001885674.1</v>
      </c>
    </row>
    <row r="360" spans="1:7" x14ac:dyDescent="0.35">
      <c r="A360" t="s">
        <v>1316</v>
      </c>
      <c r="B360">
        <v>166</v>
      </c>
      <c r="C360">
        <v>166</v>
      </c>
      <c r="D360" s="2">
        <v>0.98</v>
      </c>
      <c r="E360" s="3">
        <v>9.9999999999999995E-45</v>
      </c>
      <c r="F360">
        <v>36.479999999999997</v>
      </c>
      <c r="G360" t="str">
        <f>HYPERLINK("https://www.ncbi.nlm.nih.gov/nucleotide/XM_023570047.1?report=genbank&amp;log$=nucltop&amp;blast_rank=51&amp;RID=29VKCGPU016","XM_023570047.1")</f>
        <v>XM_023570047.1</v>
      </c>
    </row>
    <row r="361" spans="1:7" x14ac:dyDescent="0.35">
      <c r="A361" t="s">
        <v>1317</v>
      </c>
      <c r="B361">
        <v>160</v>
      </c>
      <c r="C361">
        <v>160</v>
      </c>
      <c r="D361" s="2">
        <v>0.94</v>
      </c>
      <c r="E361" s="3">
        <v>3.0000000000000003E-42</v>
      </c>
      <c r="F361">
        <v>36.32</v>
      </c>
      <c r="G361" t="str">
        <f>HYPERLINK("https://www.ncbi.nlm.nih.gov/nucleotide/XM_033809731.1?report=genbank&amp;log$=nucltop&amp;blast_rank=52&amp;RID=29VKCGPU016","XM_033809731.1")</f>
        <v>XM_033809731.1</v>
      </c>
    </row>
    <row r="362" spans="1:7" x14ac:dyDescent="0.35">
      <c r="A362" t="s">
        <v>1318</v>
      </c>
      <c r="B362">
        <v>168</v>
      </c>
      <c r="C362">
        <v>168</v>
      </c>
      <c r="D362" s="2">
        <v>0.97</v>
      </c>
      <c r="E362" s="3">
        <v>3.9999999999999999E-45</v>
      </c>
      <c r="F362">
        <v>36.21</v>
      </c>
      <c r="G362" t="str">
        <f>HYPERLINK("https://www.ncbi.nlm.nih.gov/nucleotide/XM_008716943.1?report=genbank&amp;log$=nucltop&amp;blast_rank=53&amp;RID=29VKCGPU016","XM_008716943.1")</f>
        <v>XM_008716943.1</v>
      </c>
    </row>
    <row r="363" spans="1:7" x14ac:dyDescent="0.35">
      <c r="A363" t="s">
        <v>1319</v>
      </c>
      <c r="B363">
        <v>164</v>
      </c>
      <c r="C363">
        <v>164</v>
      </c>
      <c r="D363" s="2">
        <v>0.95</v>
      </c>
      <c r="E363" s="3">
        <v>2.0000000000000002E-43</v>
      </c>
      <c r="F363">
        <v>36.119999999999997</v>
      </c>
      <c r="G363" t="str">
        <f>HYPERLINK("https://www.ncbi.nlm.nih.gov/nucleotide/XM_026760252.1?report=genbank&amp;log$=nucltop&amp;blast_rank=54&amp;RID=29VKCGPU016","XM_026760252.1")</f>
        <v>XM_026760252.1</v>
      </c>
    </row>
    <row r="364" spans="1:7" x14ac:dyDescent="0.35">
      <c r="A364" t="s">
        <v>1320</v>
      </c>
      <c r="B364">
        <v>167</v>
      </c>
      <c r="C364">
        <v>167</v>
      </c>
      <c r="D364" s="2">
        <v>0.96</v>
      </c>
      <c r="E364" s="3">
        <v>9.9999999999999995E-45</v>
      </c>
      <c r="F364">
        <v>36.090000000000003</v>
      </c>
      <c r="G364" t="str">
        <f>HYPERLINK("https://www.ncbi.nlm.nih.gov/nucleotide/XM_018138819.1?report=genbank&amp;log$=nucltop&amp;blast_rank=55&amp;RID=29VKCGPU016","XM_018138819.1")</f>
        <v>XM_018138819.1</v>
      </c>
    </row>
    <row r="365" spans="1:7" x14ac:dyDescent="0.35">
      <c r="A365" t="s">
        <v>1321</v>
      </c>
      <c r="B365">
        <v>160</v>
      </c>
      <c r="C365">
        <v>160</v>
      </c>
      <c r="D365" s="2">
        <v>0.98</v>
      </c>
      <c r="E365" s="3">
        <v>1E-42</v>
      </c>
      <c r="F365">
        <v>36.049999999999997</v>
      </c>
      <c r="G365" t="str">
        <f>HYPERLINK("https://www.ncbi.nlm.nih.gov/nucleotide/XM_037351979.1?report=genbank&amp;log$=nucltop&amp;blast_rank=56&amp;RID=29VKCGPU016","XM_037351979.1")</f>
        <v>XM_037351979.1</v>
      </c>
    </row>
    <row r="366" spans="1:7" x14ac:dyDescent="0.35">
      <c r="A366" t="s">
        <v>1322</v>
      </c>
      <c r="B366">
        <v>169</v>
      </c>
      <c r="C366">
        <v>169</v>
      </c>
      <c r="D366" s="2">
        <v>0.97</v>
      </c>
      <c r="E366" s="3">
        <v>9.9999999999999998E-46</v>
      </c>
      <c r="F366">
        <v>35.93</v>
      </c>
      <c r="G366" t="str">
        <f>HYPERLINK("https://www.ncbi.nlm.nih.gov/nucleotide/XM_655239.1?report=genbank&amp;log$=nucltop&amp;blast_rank=57&amp;RID=29VKCGPU016","XM_655239.1")</f>
        <v>XM_655239.1</v>
      </c>
    </row>
    <row r="367" spans="1:7" x14ac:dyDescent="0.35">
      <c r="A367" t="s">
        <v>948</v>
      </c>
      <c r="B367">
        <v>161</v>
      </c>
      <c r="C367">
        <v>161</v>
      </c>
      <c r="D367" s="2">
        <v>0.98</v>
      </c>
      <c r="E367" s="3">
        <v>1E-42</v>
      </c>
      <c r="F367">
        <v>35.93</v>
      </c>
      <c r="G367" t="str">
        <f>HYPERLINK("https://www.ncbi.nlm.nih.gov/nucleotide/XM_014696616.1?report=genbank&amp;log$=nucltop&amp;blast_rank=58&amp;RID=29VKCGPU016","XM_014696616.1")</f>
        <v>XM_014696616.1</v>
      </c>
    </row>
    <row r="368" spans="1:7" x14ac:dyDescent="0.35">
      <c r="A368" s="4" t="s">
        <v>1323</v>
      </c>
      <c r="B368" s="4">
        <v>161</v>
      </c>
      <c r="C368" s="4">
        <v>161</v>
      </c>
      <c r="D368" s="5">
        <v>0.97</v>
      </c>
      <c r="E368" s="6">
        <v>1E-42</v>
      </c>
      <c r="F368" s="4">
        <v>35.93</v>
      </c>
      <c r="G368" s="4" t="str">
        <f>HYPERLINK("https://www.ncbi.nlm.nih.gov/nucleotide/XM_026750470.1?report=genbank&amp;log$=nucltop&amp;blast_rank=59&amp;RID=29VKCGPU016","XM_026750470.1")</f>
        <v>XM_026750470.1</v>
      </c>
    </row>
    <row r="369" spans="1:7" x14ac:dyDescent="0.35">
      <c r="A369" t="s">
        <v>949</v>
      </c>
      <c r="B369">
        <v>160</v>
      </c>
      <c r="C369">
        <v>160</v>
      </c>
      <c r="D369" s="2">
        <v>0.98</v>
      </c>
      <c r="E369" s="3">
        <v>2.0000000000000001E-42</v>
      </c>
      <c r="F369">
        <v>35.93</v>
      </c>
      <c r="G369" t="str">
        <f>HYPERLINK("https://www.ncbi.nlm.nih.gov/nucleotide/XM_007717679.1?report=genbank&amp;log$=nucltop&amp;blast_rank=60&amp;RID=29VKCGPU016","XM_007717679.1")</f>
        <v>XM_007717679.1</v>
      </c>
    </row>
    <row r="370" spans="1:7" x14ac:dyDescent="0.35">
      <c r="A370" s="4" t="s">
        <v>1324</v>
      </c>
      <c r="B370" s="4">
        <v>162</v>
      </c>
      <c r="C370" s="4">
        <v>162</v>
      </c>
      <c r="D370" s="5">
        <v>0.97</v>
      </c>
      <c r="E370" s="6">
        <v>5E-42</v>
      </c>
      <c r="F370" s="4">
        <v>35.93</v>
      </c>
      <c r="G370" s="4" t="str">
        <f>HYPERLINK("https://www.ncbi.nlm.nih.gov/nucleotide/XM_032048624.1?report=genbank&amp;log$=nucltop&amp;blast_rank=61&amp;RID=29VKCGPU016","XM_032048624.1")</f>
        <v>XM_032048624.1</v>
      </c>
    </row>
    <row r="371" spans="1:7" x14ac:dyDescent="0.35">
      <c r="A371" t="s">
        <v>271</v>
      </c>
      <c r="B371">
        <v>159</v>
      </c>
      <c r="C371">
        <v>159</v>
      </c>
      <c r="D371" s="2">
        <v>0.94</v>
      </c>
      <c r="E371" s="3">
        <v>8.0000000000000003E-42</v>
      </c>
      <c r="F371">
        <v>35.81</v>
      </c>
      <c r="G371" t="str">
        <f>HYPERLINK("https://www.ncbi.nlm.nih.gov/nucleotide/XM_014679761.1?report=genbank&amp;log$=nucltop&amp;blast_rank=62&amp;RID=29VKCGPU016","XM_014679761.1")</f>
        <v>XM_014679761.1</v>
      </c>
    </row>
    <row r="372" spans="1:7" x14ac:dyDescent="0.35">
      <c r="A372" t="s">
        <v>1325</v>
      </c>
      <c r="B372">
        <v>158</v>
      </c>
      <c r="C372">
        <v>158</v>
      </c>
      <c r="D372" s="2">
        <v>0.94</v>
      </c>
      <c r="E372" s="3">
        <v>1.9999999999999999E-40</v>
      </c>
      <c r="F372">
        <v>35.81</v>
      </c>
      <c r="G372" t="str">
        <f>HYPERLINK("https://www.ncbi.nlm.nih.gov/nucleotide/CP060778.1?report=genbank&amp;log$=nucltop&amp;blast_rank=63&amp;RID=29VKCGPU016","CP060778.1")</f>
        <v>CP060778.1</v>
      </c>
    </row>
    <row r="373" spans="1:7" x14ac:dyDescent="0.35">
      <c r="A373" t="s">
        <v>156</v>
      </c>
      <c r="B373">
        <v>170</v>
      </c>
      <c r="C373">
        <v>170</v>
      </c>
      <c r="D373" s="2">
        <v>0.98</v>
      </c>
      <c r="E373" s="3">
        <v>9E-46</v>
      </c>
      <c r="F373">
        <v>35.78</v>
      </c>
      <c r="G373" t="str">
        <f>HYPERLINK("https://www.ncbi.nlm.nih.gov/nucleotide/XM_013428779.1?report=genbank&amp;log$=nucltop&amp;blast_rank=64&amp;RID=29VKCGPU016","XM_013428779.1")</f>
        <v>XM_013428779.1</v>
      </c>
    </row>
    <row r="374" spans="1:7" x14ac:dyDescent="0.35">
      <c r="A374" t="s">
        <v>156</v>
      </c>
      <c r="B374">
        <v>166</v>
      </c>
      <c r="C374">
        <v>166</v>
      </c>
      <c r="D374" s="2">
        <v>0.97</v>
      </c>
      <c r="E374" s="3">
        <v>1.9999999999999999E-44</v>
      </c>
      <c r="F374">
        <v>35.78</v>
      </c>
      <c r="G374" t="str">
        <f>HYPERLINK("https://www.ncbi.nlm.nih.gov/nucleotide/XM_013422538.1?report=genbank&amp;log$=nucltop&amp;blast_rank=65&amp;RID=29VKCGPU016","XM_013422538.1")</f>
        <v>XM_013422538.1</v>
      </c>
    </row>
    <row r="375" spans="1:7" x14ac:dyDescent="0.35">
      <c r="A375" t="s">
        <v>1326</v>
      </c>
      <c r="B375">
        <v>164</v>
      </c>
      <c r="C375">
        <v>164</v>
      </c>
      <c r="D375" s="2">
        <v>0.98</v>
      </c>
      <c r="E375" s="3">
        <v>1E-42</v>
      </c>
      <c r="F375">
        <v>35.78</v>
      </c>
      <c r="G375" t="str">
        <f>HYPERLINK("https://www.ncbi.nlm.nih.gov/nucleotide/XM_026757406.1?report=genbank&amp;log$=nucltop&amp;blast_rank=66&amp;RID=29VKCGPU016","XM_026757406.1")</f>
        <v>XM_026757406.1</v>
      </c>
    </row>
    <row r="376" spans="1:7" x14ac:dyDescent="0.35">
      <c r="A376" t="s">
        <v>1327</v>
      </c>
      <c r="B376">
        <v>157</v>
      </c>
      <c r="C376">
        <v>157</v>
      </c>
      <c r="D376" s="2">
        <v>0.98</v>
      </c>
      <c r="E376" s="3">
        <v>2.9999999999999999E-41</v>
      </c>
      <c r="F376">
        <v>35.5</v>
      </c>
      <c r="G376" t="str">
        <f>HYPERLINK("https://www.ncbi.nlm.nih.gov/nucleotide/XM_007702649.1?report=genbank&amp;log$=nucltop&amp;blast_rank=67&amp;RID=29VKCGPU016","XM_007702649.1")</f>
        <v>XM_007702649.1</v>
      </c>
    </row>
    <row r="377" spans="1:7" x14ac:dyDescent="0.35">
      <c r="A377" t="s">
        <v>1328</v>
      </c>
      <c r="B377">
        <v>163</v>
      </c>
      <c r="C377">
        <v>163</v>
      </c>
      <c r="D377" s="2">
        <v>0.98</v>
      </c>
      <c r="E377" s="3">
        <v>2.0000000000000002E-43</v>
      </c>
      <c r="F377">
        <v>35.47</v>
      </c>
      <c r="G377" t="str">
        <f>HYPERLINK("https://www.ncbi.nlm.nih.gov/nucleotide/XM_022529199.1?report=genbank&amp;log$=nucltop&amp;blast_rank=68&amp;RID=29VKCGPU016","XM_022529199.1")</f>
        <v>XM_022529199.1</v>
      </c>
    </row>
    <row r="378" spans="1:7" x14ac:dyDescent="0.35">
      <c r="A378" t="s">
        <v>1037</v>
      </c>
      <c r="B378">
        <v>159</v>
      </c>
      <c r="C378">
        <v>159</v>
      </c>
      <c r="D378" s="2">
        <v>0.98</v>
      </c>
      <c r="E378" s="3">
        <v>9.0000000000000002E-42</v>
      </c>
      <c r="F378">
        <v>35.47</v>
      </c>
      <c r="G378" t="str">
        <f>HYPERLINK("https://www.ncbi.nlm.nih.gov/nucleotide/XM_007786383.1?report=genbank&amp;log$=nucltop&amp;blast_rank=69&amp;RID=29VKCGPU016","XM_007786383.1")</f>
        <v>XM_007786383.1</v>
      </c>
    </row>
    <row r="379" spans="1:7" x14ac:dyDescent="0.35">
      <c r="A379" t="s">
        <v>1329</v>
      </c>
      <c r="B379">
        <v>164</v>
      </c>
      <c r="C379">
        <v>164</v>
      </c>
      <c r="D379" s="2">
        <v>0.99</v>
      </c>
      <c r="E379" s="3">
        <v>7.9999999999999996E-44</v>
      </c>
      <c r="F379">
        <v>35.44</v>
      </c>
      <c r="G379" t="str">
        <f>HYPERLINK("https://www.ncbi.nlm.nih.gov/nucleotide/XM_035485840.1?report=genbank&amp;log$=nucltop&amp;blast_rank=70&amp;RID=29VKCGPU016","XM_035485840.1")</f>
        <v>XM_035485840.1</v>
      </c>
    </row>
    <row r="380" spans="1:7" x14ac:dyDescent="0.35">
      <c r="A380" t="s">
        <v>1330</v>
      </c>
      <c r="B380">
        <v>161</v>
      </c>
      <c r="C380">
        <v>161</v>
      </c>
      <c r="D380" s="2">
        <v>0.98</v>
      </c>
      <c r="E380" s="3">
        <v>3.0000000000000003E-42</v>
      </c>
      <c r="F380">
        <v>35.44</v>
      </c>
      <c r="G380" t="str">
        <f>HYPERLINK("https://www.ncbi.nlm.nih.gov/nucleotide/XM_033546272.1?report=genbank&amp;log$=nucltop&amp;blast_rank=71&amp;RID=29VKCGPU016","XM_033546272.1")</f>
        <v>XM_033546272.1</v>
      </c>
    </row>
    <row r="381" spans="1:7" x14ac:dyDescent="0.35">
      <c r="A381" t="s">
        <v>1331</v>
      </c>
      <c r="B381">
        <v>168</v>
      </c>
      <c r="C381">
        <v>168</v>
      </c>
      <c r="D381" s="2">
        <v>0.98</v>
      </c>
      <c r="E381" s="3">
        <v>7.9999999999999999E-45</v>
      </c>
      <c r="F381">
        <v>35.340000000000003</v>
      </c>
      <c r="G381" t="str">
        <f>HYPERLINK("https://www.ncbi.nlm.nih.gov/nucleotide/XM_022656987.1?report=genbank&amp;log$=nucltop&amp;blast_rank=72&amp;RID=29VKCGPU016","XM_022656987.1")</f>
        <v>XM_022656987.1</v>
      </c>
    </row>
    <row r="382" spans="1:7" x14ac:dyDescent="0.35">
      <c r="A382" t="s">
        <v>148</v>
      </c>
      <c r="B382">
        <v>167</v>
      </c>
      <c r="C382">
        <v>167</v>
      </c>
      <c r="D382" s="2">
        <v>0.98</v>
      </c>
      <c r="E382" s="3">
        <v>7.9999999999999999E-45</v>
      </c>
      <c r="F382">
        <v>35.340000000000003</v>
      </c>
      <c r="G382" t="str">
        <f>HYPERLINK("https://www.ncbi.nlm.nih.gov/nucleotide/XM_016758179.1?report=genbank&amp;log$=nucltop&amp;blast_rank=73&amp;RID=29VKCGPU016","XM_016758179.1")</f>
        <v>XM_016758179.1</v>
      </c>
    </row>
    <row r="383" spans="1:7" x14ac:dyDescent="0.35">
      <c r="A383" t="s">
        <v>1332</v>
      </c>
      <c r="B383">
        <v>166</v>
      </c>
      <c r="C383">
        <v>166</v>
      </c>
      <c r="D383" s="2">
        <v>0.97</v>
      </c>
      <c r="E383" s="3">
        <v>1.9999999999999999E-44</v>
      </c>
      <c r="F383">
        <v>35.340000000000003</v>
      </c>
      <c r="G383" t="str">
        <f>HYPERLINK("https://www.ncbi.nlm.nih.gov/nucleotide/XM_018841732.1?report=genbank&amp;log$=nucltop&amp;blast_rank=74&amp;RID=29VKCGPU016","XM_018841732.1")</f>
        <v>XM_018841732.1</v>
      </c>
    </row>
    <row r="384" spans="1:7" x14ac:dyDescent="0.35">
      <c r="A384" t="s">
        <v>1333</v>
      </c>
      <c r="B384">
        <v>166</v>
      </c>
      <c r="C384">
        <v>166</v>
      </c>
      <c r="D384" s="2">
        <v>0.97</v>
      </c>
      <c r="E384" s="3">
        <v>1.9999999999999999E-44</v>
      </c>
      <c r="F384">
        <v>35.340000000000003</v>
      </c>
      <c r="G384" t="str">
        <f>HYPERLINK("https://www.ncbi.nlm.nih.gov/nucleotide/XM_022646961.1?report=genbank&amp;log$=nucltop&amp;blast_rank=75&amp;RID=29VKCGPU016","XM_022646961.1")</f>
        <v>XM_022646961.1</v>
      </c>
    </row>
    <row r="385" spans="1:7" x14ac:dyDescent="0.35">
      <c r="A385" t="s">
        <v>147</v>
      </c>
      <c r="B385">
        <v>165</v>
      </c>
      <c r="C385">
        <v>165</v>
      </c>
      <c r="D385" s="2">
        <v>0.97</v>
      </c>
      <c r="E385" s="3">
        <v>3.9999999999999998E-44</v>
      </c>
      <c r="F385">
        <v>35.340000000000003</v>
      </c>
      <c r="G385" t="str">
        <f>HYPERLINK("https://www.ncbi.nlm.nih.gov/nucleotide/XM_007748057.1?report=genbank&amp;log$=nucltop&amp;blast_rank=76&amp;RID=29VKCGPU016","XM_007748057.1")</f>
        <v>XM_007748057.1</v>
      </c>
    </row>
    <row r="386" spans="1:7" x14ac:dyDescent="0.35">
      <c r="A386" t="s">
        <v>618</v>
      </c>
      <c r="B386">
        <v>165</v>
      </c>
      <c r="C386">
        <v>165</v>
      </c>
      <c r="D386" s="2">
        <v>0.97</v>
      </c>
      <c r="E386" s="3">
        <v>5.0000000000000004E-44</v>
      </c>
      <c r="F386">
        <v>35.340000000000003</v>
      </c>
      <c r="G386" t="str">
        <f>HYPERLINK("https://www.ncbi.nlm.nih.gov/nucleotide/XM_008732899.1?report=genbank&amp;log$=nucltop&amp;blast_rank=77&amp;RID=29VKCGPU016","XM_008732899.1")</f>
        <v>XM_008732899.1</v>
      </c>
    </row>
    <row r="387" spans="1:7" x14ac:dyDescent="0.35">
      <c r="A387" t="s">
        <v>1334</v>
      </c>
      <c r="B387">
        <v>164</v>
      </c>
      <c r="C387">
        <v>164</v>
      </c>
      <c r="D387" s="2">
        <v>0.97</v>
      </c>
      <c r="E387" s="3">
        <v>6.9999999999999995E-44</v>
      </c>
      <c r="F387">
        <v>35.340000000000003</v>
      </c>
      <c r="G387" t="str">
        <f>HYPERLINK("https://www.ncbi.nlm.nih.gov/nucleotide/XM_022658649.1?report=genbank&amp;log$=nucltop&amp;blast_rank=78&amp;RID=29VKCGPU016","XM_022658649.1")</f>
        <v>XM_022658649.1</v>
      </c>
    </row>
    <row r="388" spans="1:7" x14ac:dyDescent="0.35">
      <c r="A388" t="s">
        <v>1123</v>
      </c>
      <c r="B388">
        <v>163</v>
      </c>
      <c r="C388">
        <v>163</v>
      </c>
      <c r="D388" s="2">
        <v>0.98</v>
      </c>
      <c r="E388" s="3">
        <v>3.9999999999999999E-45</v>
      </c>
      <c r="F388">
        <v>35.22</v>
      </c>
      <c r="G388" t="str">
        <f>HYPERLINK("https://www.ncbi.nlm.nih.gov/nucleotide/XM_036773526.1?report=genbank&amp;log$=nucltop&amp;blast_rank=79&amp;RID=29VKCGPU016","XM_036773526.1")</f>
        <v>XM_036773526.1</v>
      </c>
    </row>
    <row r="389" spans="1:7" x14ac:dyDescent="0.35">
      <c r="A389" t="s">
        <v>148</v>
      </c>
      <c r="B389">
        <v>166</v>
      </c>
      <c r="C389">
        <v>166</v>
      </c>
      <c r="D389" s="2">
        <v>0.97</v>
      </c>
      <c r="E389" s="3">
        <v>3.9999999999999998E-44</v>
      </c>
      <c r="F389">
        <v>35.22</v>
      </c>
      <c r="G389" t="str">
        <f>HYPERLINK("https://www.ncbi.nlm.nih.gov/nucleotide/XM_016764828.1?report=genbank&amp;log$=nucltop&amp;blast_rank=80&amp;RID=29VKCGPU016","XM_016764828.1")</f>
        <v>XM_016764828.1</v>
      </c>
    </row>
    <row r="390" spans="1:7" x14ac:dyDescent="0.35">
      <c r="A390" s="4" t="s">
        <v>1335</v>
      </c>
      <c r="B390" s="4">
        <v>160</v>
      </c>
      <c r="C390" s="4">
        <v>160</v>
      </c>
      <c r="D390" s="5">
        <v>0.95</v>
      </c>
      <c r="E390" s="6">
        <v>7.0000000000000004E-42</v>
      </c>
      <c r="F390" s="4">
        <v>35.22</v>
      </c>
      <c r="G390" s="4" t="str">
        <f>HYPERLINK("https://www.ncbi.nlm.nih.gov/nucleotide/XM_018210977.1?report=genbank&amp;log$=nucltop&amp;blast_rank=81&amp;RID=29VKCGPU016","XM_018210977.1")</f>
        <v>XM_018210977.1</v>
      </c>
    </row>
    <row r="391" spans="1:7" x14ac:dyDescent="0.35">
      <c r="A391" s="4" t="s">
        <v>1336</v>
      </c>
      <c r="B391" s="4">
        <v>154</v>
      </c>
      <c r="C391" s="4">
        <v>154</v>
      </c>
      <c r="D391" s="5">
        <v>0.97</v>
      </c>
      <c r="E391" s="6">
        <v>1.9999999999999999E-40</v>
      </c>
      <c r="F391" s="4">
        <v>35.22</v>
      </c>
      <c r="G391" s="4" t="str">
        <f>HYPERLINK("https://www.ncbi.nlm.nih.gov/nucleotide/XM_035513350.1?report=genbank&amp;log$=nucltop&amp;blast_rank=82&amp;RID=29VKCGPU016","XM_035513350.1")</f>
        <v>XM_035513350.1</v>
      </c>
    </row>
    <row r="392" spans="1:7" x14ac:dyDescent="0.35">
      <c r="A392" t="s">
        <v>148</v>
      </c>
      <c r="B392">
        <v>164</v>
      </c>
      <c r="C392">
        <v>164</v>
      </c>
      <c r="D392" s="2">
        <v>0.97</v>
      </c>
      <c r="E392" s="3">
        <v>8.9999999999999997E-44</v>
      </c>
      <c r="F392">
        <v>34.909999999999997</v>
      </c>
      <c r="G392" t="str">
        <f>HYPERLINK("https://www.ncbi.nlm.nih.gov/nucleotide/XM_016763775.1?report=genbank&amp;log$=nucltop&amp;blast_rank=83&amp;RID=29VKCGPU016","XM_016763775.1")</f>
        <v>XM_016763775.1</v>
      </c>
    </row>
    <row r="393" spans="1:7" x14ac:dyDescent="0.35">
      <c r="A393" t="s">
        <v>146</v>
      </c>
      <c r="B393">
        <v>163</v>
      </c>
      <c r="C393">
        <v>163</v>
      </c>
      <c r="D393" s="2">
        <v>0.97</v>
      </c>
      <c r="E393" s="3">
        <v>2.0000000000000002E-43</v>
      </c>
      <c r="F393">
        <v>34.909999999999997</v>
      </c>
      <c r="G393" t="str">
        <f>HYPERLINK("https://www.ncbi.nlm.nih.gov/nucleotide/XM_016399938.1?report=genbank&amp;log$=nucltop&amp;blast_rank=84&amp;RID=29VKCGPU016","XM_016399938.1")</f>
        <v>XM_016399938.1</v>
      </c>
    </row>
    <row r="394" spans="1:7" x14ac:dyDescent="0.35">
      <c r="A394" t="s">
        <v>142</v>
      </c>
      <c r="B394">
        <v>162</v>
      </c>
      <c r="C394">
        <v>162</v>
      </c>
      <c r="D394" s="2">
        <v>0.97</v>
      </c>
      <c r="E394" s="3">
        <v>6.0000000000000001E-43</v>
      </c>
      <c r="F394">
        <v>34.909999999999997</v>
      </c>
      <c r="G394" t="str">
        <f>HYPERLINK("https://www.ncbi.nlm.nih.gov/nucleotide/XM_013417097.1?report=genbank&amp;log$=nucltop&amp;blast_rank=85&amp;RID=29VKCGPU016","XM_013417097.1")</f>
        <v>XM_013417097.1</v>
      </c>
    </row>
    <row r="395" spans="1:7" x14ac:dyDescent="0.35">
      <c r="A395" t="s">
        <v>1337</v>
      </c>
      <c r="B395">
        <v>158</v>
      </c>
      <c r="C395">
        <v>158</v>
      </c>
      <c r="D395" s="2">
        <v>0.94</v>
      </c>
      <c r="E395" s="3">
        <v>1.9999999999999999E-40</v>
      </c>
      <c r="F395">
        <v>34.82</v>
      </c>
      <c r="G395" t="str">
        <f>HYPERLINK("https://www.ncbi.nlm.nih.gov/nucleotide/XM_022652172.1?report=genbank&amp;log$=nucltop&amp;blast_rank=86&amp;RID=29VKCGPU016","XM_022652172.1")</f>
        <v>XM_022652172.1</v>
      </c>
    </row>
    <row r="396" spans="1:7" x14ac:dyDescent="0.35">
      <c r="A396" t="s">
        <v>1122</v>
      </c>
      <c r="B396">
        <v>166</v>
      </c>
      <c r="C396">
        <v>166</v>
      </c>
      <c r="D396" s="2">
        <v>0.98</v>
      </c>
      <c r="E396" s="3">
        <v>9.9999999999999995E-45</v>
      </c>
      <c r="F396">
        <v>34.78</v>
      </c>
      <c r="G396" t="str">
        <f>HYPERLINK("https://www.ncbi.nlm.nih.gov/nucleotide/XM_036773519.1?report=genbank&amp;log$=nucltop&amp;blast_rank=87&amp;RID=29VKCGPU016","XM_036773519.1")</f>
        <v>XM_036773519.1</v>
      </c>
    </row>
    <row r="397" spans="1:7" x14ac:dyDescent="0.35">
      <c r="A397" t="s">
        <v>147</v>
      </c>
      <c r="B397">
        <v>164</v>
      </c>
      <c r="C397">
        <v>164</v>
      </c>
      <c r="D397" s="2">
        <v>0.97</v>
      </c>
      <c r="E397" s="3">
        <v>2.0000000000000002E-43</v>
      </c>
      <c r="F397">
        <v>34.78</v>
      </c>
      <c r="G397" t="str">
        <f>HYPERLINK("https://www.ncbi.nlm.nih.gov/nucleotide/XM_007743177.1?report=genbank&amp;log$=nucltop&amp;blast_rank=88&amp;RID=29VKCGPU016","XM_007743177.1")</f>
        <v>XM_007743177.1</v>
      </c>
    </row>
    <row r="398" spans="1:7" x14ac:dyDescent="0.35">
      <c r="A398" t="s">
        <v>1338</v>
      </c>
      <c r="B398">
        <v>157</v>
      </c>
      <c r="C398">
        <v>157</v>
      </c>
      <c r="D398" s="2">
        <v>0.97</v>
      </c>
      <c r="E398" s="3">
        <v>1.9999999999999999E-40</v>
      </c>
      <c r="F398">
        <v>34.630000000000003</v>
      </c>
      <c r="G398" t="str">
        <f>HYPERLINK("https://www.ncbi.nlm.nih.gov/nucleotide/XM_013463204.1?report=genbank&amp;log$=nucltop&amp;blast_rank=89&amp;RID=29VKCGPU016","XM_013463204.1")</f>
        <v>XM_013463204.1</v>
      </c>
    </row>
    <row r="399" spans="1:7" x14ac:dyDescent="0.35">
      <c r="A399" t="s">
        <v>174</v>
      </c>
      <c r="B399">
        <v>164</v>
      </c>
      <c r="C399">
        <v>164</v>
      </c>
      <c r="D399" s="2">
        <v>0.97</v>
      </c>
      <c r="E399" s="3">
        <v>1.0000000000000001E-43</v>
      </c>
      <c r="F399">
        <v>34.479999999999997</v>
      </c>
      <c r="G399" t="str">
        <f>HYPERLINK("https://www.ncbi.nlm.nih.gov/nucleotide/XM_016778428.1?report=genbank&amp;log$=nucltop&amp;blast_rank=90&amp;RID=29VKCGPU016","XM_016778428.1")</f>
        <v>XM_016778428.1</v>
      </c>
    </row>
    <row r="400" spans="1:7" x14ac:dyDescent="0.35">
      <c r="A400" s="4" t="s">
        <v>1339</v>
      </c>
      <c r="B400" s="4">
        <v>160</v>
      </c>
      <c r="C400" s="4">
        <v>160</v>
      </c>
      <c r="D400" s="5">
        <v>0.97</v>
      </c>
      <c r="E400" s="6">
        <v>9.0000000000000002E-42</v>
      </c>
      <c r="F400" s="4">
        <v>34.479999999999997</v>
      </c>
      <c r="G400" s="4" t="str">
        <f>HYPERLINK("https://www.ncbi.nlm.nih.gov/nucleotide/XM_024851729.1?report=genbank&amp;log$=nucltop&amp;blast_rank=91&amp;RID=29VKCGPU016","XM_024851729.1")</f>
        <v>XM_024851729.1</v>
      </c>
    </row>
    <row r="401" spans="1:7" x14ac:dyDescent="0.35">
      <c r="A401" t="s">
        <v>938</v>
      </c>
      <c r="B401">
        <v>169</v>
      </c>
      <c r="C401">
        <v>169</v>
      </c>
      <c r="D401" s="2">
        <v>0.98</v>
      </c>
      <c r="E401" s="3">
        <v>3.0000000000000001E-45</v>
      </c>
      <c r="F401">
        <v>34.33</v>
      </c>
      <c r="G401" t="str">
        <f>HYPERLINK("https://www.ncbi.nlm.nih.gov/nucleotide/XM_013400624.1?report=genbank&amp;log$=nucltop&amp;blast_rank=92&amp;RID=29VKCGPU016","XM_013400624.1")</f>
        <v>XM_013400624.1</v>
      </c>
    </row>
    <row r="402" spans="1:7" x14ac:dyDescent="0.35">
      <c r="A402" t="s">
        <v>1340</v>
      </c>
      <c r="B402">
        <v>153</v>
      </c>
      <c r="C402">
        <v>153</v>
      </c>
      <c r="D402" s="2">
        <v>0.97</v>
      </c>
      <c r="E402" s="3">
        <v>3.9999999999999997E-40</v>
      </c>
      <c r="F402">
        <v>34.200000000000003</v>
      </c>
      <c r="G402" t="str">
        <f>HYPERLINK("https://www.ncbi.nlm.nih.gov/nucleotide/XM_022661905.1?report=genbank&amp;log$=nucltop&amp;blast_rank=93&amp;RID=29VKCGPU016","XM_022661905.1")</f>
        <v>XM_022661905.1</v>
      </c>
    </row>
    <row r="403" spans="1:7" x14ac:dyDescent="0.35">
      <c r="A403" t="s">
        <v>621</v>
      </c>
      <c r="B403">
        <v>159</v>
      </c>
      <c r="C403">
        <v>159</v>
      </c>
      <c r="D403" s="2">
        <v>0.97</v>
      </c>
      <c r="E403" s="3">
        <v>1E-41</v>
      </c>
      <c r="F403">
        <v>34.049999999999997</v>
      </c>
      <c r="G403" t="str">
        <f>HYPERLINK("https://www.ncbi.nlm.nih.gov/nucleotide/XM_007763679.1?report=genbank&amp;log$=nucltop&amp;blast_rank=94&amp;RID=29VKCGPU016","XM_007763679.1")</f>
        <v>XM_007763679.1</v>
      </c>
    </row>
    <row r="404" spans="1:7" x14ac:dyDescent="0.35">
      <c r="A404" t="s">
        <v>1341</v>
      </c>
      <c r="B404">
        <v>155</v>
      </c>
      <c r="C404">
        <v>155</v>
      </c>
      <c r="D404" s="2">
        <v>0.93</v>
      </c>
      <c r="E404" s="3">
        <v>1.9999999999999999E-40</v>
      </c>
      <c r="F404">
        <v>33.33</v>
      </c>
      <c r="G404" t="str">
        <f>HYPERLINK("https://www.ncbi.nlm.nih.gov/nucleotide/XM_001910671.1?report=genbank&amp;log$=nucltop&amp;blast_rank=95&amp;RID=29VKCGPU016","XM_001910671.1")</f>
        <v>XM_001910671.1</v>
      </c>
    </row>
    <row r="405" spans="1:7" x14ac:dyDescent="0.35">
      <c r="A405" t="s">
        <v>142</v>
      </c>
      <c r="B405">
        <v>157</v>
      </c>
      <c r="C405">
        <v>157</v>
      </c>
      <c r="D405" s="2">
        <v>0.98</v>
      </c>
      <c r="E405" s="3">
        <v>9.0000000000000002E-41</v>
      </c>
      <c r="F405">
        <v>33.19</v>
      </c>
      <c r="G405" t="str">
        <f>HYPERLINK("https://www.ncbi.nlm.nih.gov/nucleotide/XM_013419147.1?report=genbank&amp;log$=nucltop&amp;blast_rank=96&amp;RID=29VKCGPU016","XM_013419147.1")</f>
        <v>XM_013419147.1</v>
      </c>
    </row>
    <row r="406" spans="1:7" x14ac:dyDescent="0.35">
      <c r="A406" t="s">
        <v>148</v>
      </c>
      <c r="B406">
        <v>159</v>
      </c>
      <c r="C406">
        <v>159</v>
      </c>
      <c r="D406" s="2">
        <v>0.98</v>
      </c>
      <c r="E406" s="3">
        <v>1E-41</v>
      </c>
      <c r="F406">
        <v>33.049999999999997</v>
      </c>
      <c r="G406" t="str">
        <f>HYPERLINK("https://www.ncbi.nlm.nih.gov/nucleotide/XM_016765338.1?report=genbank&amp;log$=nucltop&amp;blast_rank=97&amp;RID=29VKCGPU016","XM_016765338.1")</f>
        <v>XM_016765338.1</v>
      </c>
    </row>
    <row r="407" spans="1:7" x14ac:dyDescent="0.35">
      <c r="A407" t="s">
        <v>1342</v>
      </c>
      <c r="B407">
        <v>155</v>
      </c>
      <c r="C407">
        <v>155</v>
      </c>
      <c r="D407" s="2">
        <v>0.98</v>
      </c>
      <c r="E407" s="3">
        <v>1.9999999999999999E-40</v>
      </c>
      <c r="F407">
        <v>33.04</v>
      </c>
      <c r="G407" t="str">
        <f>HYPERLINK("https://www.ncbi.nlm.nih.gov/nucleotide/AM411585.1?report=genbank&amp;log$=nucltop&amp;blast_rank=98&amp;RID=29VKCGPU016","AM411585.1")</f>
        <v>AM411585.1</v>
      </c>
    </row>
    <row r="408" spans="1:7" x14ac:dyDescent="0.35">
      <c r="A408" s="4" t="s">
        <v>1343</v>
      </c>
      <c r="B408" s="4">
        <v>161</v>
      </c>
      <c r="C408" s="4">
        <v>161</v>
      </c>
      <c r="D408" s="5">
        <v>0.96</v>
      </c>
      <c r="E408" s="6">
        <v>2.0000000000000001E-42</v>
      </c>
      <c r="F408" s="4">
        <v>32.75</v>
      </c>
      <c r="G408" s="4" t="str">
        <f>HYPERLINK("https://www.ncbi.nlm.nih.gov/nucleotide/XM_002480000.1?report=genbank&amp;log$=nucltop&amp;blast_rank=99&amp;RID=29VKCGPU016","XM_002480000.1")</f>
        <v>XM_002480000.1</v>
      </c>
    </row>
    <row r="409" spans="1:7" x14ac:dyDescent="0.35">
      <c r="A409" t="s">
        <v>147</v>
      </c>
      <c r="B409">
        <v>155</v>
      </c>
      <c r="C409">
        <v>155</v>
      </c>
      <c r="D409" s="2">
        <v>0.98</v>
      </c>
      <c r="E409" s="3">
        <v>3.0000000000000002E-40</v>
      </c>
      <c r="F409">
        <v>32.19</v>
      </c>
      <c r="G409" t="str">
        <f>HYPERLINK("https://www.ncbi.nlm.nih.gov/nucleotide/XM_007748379.1?report=genbank&amp;log$=nucltop&amp;blast_rank=100&amp;RID=29VKCGPU016","XM_007748379.1")</f>
        <v>XM_007748379.1</v>
      </c>
    </row>
    <row r="410" spans="1:7" x14ac:dyDescent="0.35">
      <c r="A410" s="1" t="s">
        <v>1344</v>
      </c>
    </row>
    <row r="411" spans="1:7" x14ac:dyDescent="0.35">
      <c r="A411" s="1" t="s">
        <v>1391</v>
      </c>
    </row>
    <row r="412" spans="1:7" x14ac:dyDescent="0.35">
      <c r="A412" s="1" t="s">
        <v>2</v>
      </c>
      <c r="B412" s="1" t="s">
        <v>3</v>
      </c>
      <c r="C412" s="1" t="s">
        <v>4</v>
      </c>
      <c r="D412" s="1" t="s">
        <v>5</v>
      </c>
      <c r="E412" s="1" t="s">
        <v>6</v>
      </c>
      <c r="F412" s="1" t="s">
        <v>7</v>
      </c>
      <c r="G412" s="1" t="s">
        <v>8</v>
      </c>
    </row>
    <row r="413" spans="1:7" x14ac:dyDescent="0.35">
      <c r="A413" t="s">
        <v>19</v>
      </c>
      <c r="B413">
        <v>221</v>
      </c>
      <c r="C413">
        <v>221</v>
      </c>
      <c r="D413" s="2">
        <v>0.95</v>
      </c>
      <c r="E413" s="3">
        <v>9.0000000000000004E-72</v>
      </c>
      <c r="F413">
        <v>73.430000000000007</v>
      </c>
      <c r="G413" t="str">
        <f>HYPERLINK("https://www.ncbi.nlm.nih.gov/nucleotide/XM_001883016.1?report=genbank&amp;log$=nucltop&amp;blast_rank=1&amp;RID=29VWSWEC013","XM_001883016.1")</f>
        <v>XM_001883016.1</v>
      </c>
    </row>
    <row r="414" spans="1:7" x14ac:dyDescent="0.35">
      <c r="A414" t="s">
        <v>37</v>
      </c>
      <c r="B414">
        <v>129</v>
      </c>
      <c r="C414">
        <v>300</v>
      </c>
      <c r="D414" s="2">
        <v>0.95</v>
      </c>
      <c r="E414" s="3">
        <v>9.9999999999999995E-58</v>
      </c>
      <c r="F414">
        <v>72.41</v>
      </c>
      <c r="G414" t="str">
        <f>HYPERLINK("https://www.ncbi.nlm.nih.gov/nucleotide/LR732085.1?report=genbank&amp;log$=nucltop&amp;blast_rank=2&amp;RID=29VWSWEC013","LR732085.1")</f>
        <v>LR732085.1</v>
      </c>
    </row>
    <row r="415" spans="1:7" x14ac:dyDescent="0.35">
      <c r="A415" t="s">
        <v>639</v>
      </c>
      <c r="B415">
        <v>223</v>
      </c>
      <c r="C415">
        <v>223</v>
      </c>
      <c r="D415" s="2">
        <v>1</v>
      </c>
      <c r="E415" s="3">
        <v>1.9999999999999999E-69</v>
      </c>
      <c r="F415">
        <v>70.67</v>
      </c>
      <c r="G415" t="str">
        <f>HYPERLINK("https://www.ncbi.nlm.nih.gov/nucleotide/XM_007319931.1?report=genbank&amp;log$=nucltop&amp;blast_rank=3&amp;RID=29VWSWEC013","XM_007319931.1")</f>
        <v>XM_007319931.1</v>
      </c>
    </row>
    <row r="416" spans="1:7" x14ac:dyDescent="0.35">
      <c r="A416" t="s">
        <v>636</v>
      </c>
      <c r="B416">
        <v>227</v>
      </c>
      <c r="C416">
        <v>227</v>
      </c>
      <c r="D416" s="2">
        <v>1</v>
      </c>
      <c r="E416" s="3">
        <v>3.0000000000000001E-71</v>
      </c>
      <c r="F416">
        <v>70</v>
      </c>
      <c r="G416" t="str">
        <f>HYPERLINK("https://www.ncbi.nlm.nih.gov/nucleotide/XM_007331503.1?report=genbank&amp;log$=nucltop&amp;blast_rank=4&amp;RID=29VWSWEC013","XM_007331503.1")</f>
        <v>XM_007331503.1</v>
      </c>
    </row>
    <row r="417" spans="1:7" x14ac:dyDescent="0.35">
      <c r="A417" t="s">
        <v>640</v>
      </c>
      <c r="B417">
        <v>223</v>
      </c>
      <c r="C417">
        <v>223</v>
      </c>
      <c r="D417" s="2">
        <v>0.99</v>
      </c>
      <c r="E417" s="3">
        <v>3E-68</v>
      </c>
      <c r="F417">
        <v>69.8</v>
      </c>
      <c r="G417" t="str">
        <f>HYPERLINK("https://www.ncbi.nlm.nih.gov/nucleotide/XM_007370223.1?report=genbank&amp;log$=nucltop&amp;blast_rank=5&amp;RID=29VWSWEC013","XM_007370223.1")</f>
        <v>XM_007370223.1</v>
      </c>
    </row>
    <row r="418" spans="1:7" x14ac:dyDescent="0.35">
      <c r="A418" t="s">
        <v>643</v>
      </c>
      <c r="B418">
        <v>231</v>
      </c>
      <c r="C418">
        <v>231</v>
      </c>
      <c r="D418" s="2">
        <v>1</v>
      </c>
      <c r="E418" s="3">
        <v>1E-73</v>
      </c>
      <c r="F418">
        <v>69.28</v>
      </c>
      <c r="G418" t="str">
        <f>HYPERLINK("https://www.ncbi.nlm.nih.gov/nucleotide/XM_006456081.1?report=genbank&amp;log$=nucltop&amp;blast_rank=6&amp;RID=29VWSWEC013","XM_006456081.1")</f>
        <v>XM_006456081.1</v>
      </c>
    </row>
    <row r="419" spans="1:7" x14ac:dyDescent="0.35">
      <c r="A419" t="s">
        <v>638</v>
      </c>
      <c r="B419">
        <v>216</v>
      </c>
      <c r="C419">
        <v>216</v>
      </c>
      <c r="D419" s="2">
        <v>0.97</v>
      </c>
      <c r="E419" s="3">
        <v>6E-68</v>
      </c>
      <c r="F419">
        <v>68.709999999999994</v>
      </c>
      <c r="G419" t="str">
        <f>HYPERLINK("https://www.ncbi.nlm.nih.gov/nucleotide/XM_036771546.1?report=genbank&amp;log$=nucltop&amp;blast_rank=7&amp;RID=29VWSWEC013","XM_036771546.1")</f>
        <v>XM_036771546.1</v>
      </c>
    </row>
    <row r="420" spans="1:7" x14ac:dyDescent="0.35">
      <c r="A420" s="4" t="s">
        <v>635</v>
      </c>
      <c r="B420" s="4">
        <v>216</v>
      </c>
      <c r="C420" s="4">
        <v>216</v>
      </c>
      <c r="D420" s="5">
        <v>0.97</v>
      </c>
      <c r="E420" s="6">
        <v>9.9999999999999994E-68</v>
      </c>
      <c r="F420" s="4">
        <v>68.709999999999994</v>
      </c>
      <c r="G420" s="4" t="str">
        <f>HYPERLINK("https://www.ncbi.nlm.nih.gov/nucleotide/XM_027759635.1?report=genbank&amp;log$=nucltop&amp;blast_rank=8&amp;RID=29VWSWEC013","XM_027759635.1")</f>
        <v>XM_027759635.1</v>
      </c>
    </row>
    <row r="421" spans="1:7" x14ac:dyDescent="0.35">
      <c r="A421" t="s">
        <v>120</v>
      </c>
      <c r="B421">
        <v>216</v>
      </c>
      <c r="C421">
        <v>216</v>
      </c>
      <c r="D421" s="2">
        <v>0.98</v>
      </c>
      <c r="E421" s="3">
        <v>9.9999999999999994E-68</v>
      </c>
      <c r="F421">
        <v>68.239999999999995</v>
      </c>
      <c r="G421" t="str">
        <f>HYPERLINK("https://www.ncbi.nlm.nih.gov/nucleotide/XM_012330422.1?report=genbank&amp;log$=nucltop&amp;blast_rank=9&amp;RID=29VWSWEC013","XM_012330422.1")</f>
        <v>XM_012330422.1</v>
      </c>
    </row>
    <row r="422" spans="1:7" x14ac:dyDescent="0.35">
      <c r="A422" t="s">
        <v>198</v>
      </c>
      <c r="B422">
        <v>220</v>
      </c>
      <c r="C422">
        <v>220</v>
      </c>
      <c r="D422" s="2">
        <v>0.98</v>
      </c>
      <c r="E422" s="3">
        <v>2.0000000000000001E-68</v>
      </c>
      <c r="F422">
        <v>68.03</v>
      </c>
      <c r="G422" t="str">
        <f>HYPERLINK("https://www.ncbi.nlm.nih.gov/nucleotide/XM_007871867.1?report=genbank&amp;log$=nucltop&amp;blast_rank=10&amp;RID=29VWSWEC013","XM_007871867.1")</f>
        <v>XM_007871867.1</v>
      </c>
    </row>
    <row r="423" spans="1:7" x14ac:dyDescent="0.35">
      <c r="A423" t="s">
        <v>641</v>
      </c>
      <c r="B423">
        <v>209</v>
      </c>
      <c r="C423">
        <v>209</v>
      </c>
      <c r="D423" s="2">
        <v>0.97</v>
      </c>
      <c r="E423" s="3">
        <v>9.9999999999999997E-65</v>
      </c>
      <c r="F423">
        <v>67.81</v>
      </c>
      <c r="G423" t="str">
        <f>HYPERLINK("https://www.ncbi.nlm.nih.gov/nucleotide/XM_024482046.1?report=genbank&amp;log$=nucltop&amp;blast_rank=11&amp;RID=29VWSWEC013","XM_024482046.1")</f>
        <v>XM_024482046.1</v>
      </c>
    </row>
    <row r="424" spans="1:7" x14ac:dyDescent="0.35">
      <c r="A424" t="s">
        <v>21</v>
      </c>
      <c r="B424">
        <v>212</v>
      </c>
      <c r="C424">
        <v>212</v>
      </c>
      <c r="D424" s="2">
        <v>0.96</v>
      </c>
      <c r="E424" s="3">
        <v>6E-68</v>
      </c>
      <c r="F424">
        <v>67.12</v>
      </c>
      <c r="G424" t="str">
        <f>HYPERLINK("https://www.ncbi.nlm.nih.gov/nucleotide/XM_009554521.1?report=genbank&amp;log$=nucltop&amp;blast_rank=12&amp;RID=29VWSWEC013","XM_009554521.1")</f>
        <v>XM_009554521.1</v>
      </c>
    </row>
    <row r="425" spans="1:7" x14ac:dyDescent="0.35">
      <c r="A425" t="s">
        <v>642</v>
      </c>
      <c r="B425">
        <v>211</v>
      </c>
      <c r="C425">
        <v>211</v>
      </c>
      <c r="D425" s="2">
        <v>0.96</v>
      </c>
      <c r="E425" s="3">
        <v>2.9999999999999998E-63</v>
      </c>
      <c r="F425">
        <v>66.900000000000006</v>
      </c>
      <c r="G425" t="str">
        <f>HYPERLINK("https://www.ncbi.nlm.nih.gov/nucleotide/XM_007397641.1?report=genbank&amp;log$=nucltop&amp;blast_rank=13&amp;RID=29VWSWEC013","XM_007397641.1")</f>
        <v>XM_007397641.1</v>
      </c>
    </row>
    <row r="426" spans="1:7" x14ac:dyDescent="0.35">
      <c r="A426" t="s">
        <v>644</v>
      </c>
      <c r="B426">
        <v>201</v>
      </c>
      <c r="C426">
        <v>201</v>
      </c>
      <c r="D426" s="2">
        <v>0.96</v>
      </c>
      <c r="E426" s="3">
        <v>1E-61</v>
      </c>
      <c r="F426">
        <v>66.900000000000006</v>
      </c>
      <c r="G426" t="str">
        <f>HYPERLINK("https://www.ncbi.nlm.nih.gov/nucleotide/XM_003028301.1?report=genbank&amp;log$=nucltop&amp;blast_rank=14&amp;RID=29VWSWEC013","XM_003028301.1")</f>
        <v>XM_003028301.1</v>
      </c>
    </row>
    <row r="427" spans="1:7" x14ac:dyDescent="0.35">
      <c r="A427" t="s">
        <v>126</v>
      </c>
      <c r="B427">
        <v>215</v>
      </c>
      <c r="C427">
        <v>215</v>
      </c>
      <c r="D427" s="2">
        <v>0.98</v>
      </c>
      <c r="E427" s="3">
        <v>3.9999999999999999E-66</v>
      </c>
      <c r="F427">
        <v>66.89</v>
      </c>
      <c r="G427" t="str">
        <f>HYPERLINK("https://www.ncbi.nlm.nih.gov/nucleotide/XM_007775845.1?report=genbank&amp;log$=nucltop&amp;blast_rank=15&amp;RID=29VWSWEC013","XM_007775845.1")</f>
        <v>XM_007775845.1</v>
      </c>
    </row>
    <row r="428" spans="1:7" x14ac:dyDescent="0.35">
      <c r="A428" s="4" t="s">
        <v>637</v>
      </c>
      <c r="B428" s="4">
        <v>224</v>
      </c>
      <c r="C428" s="4">
        <v>224</v>
      </c>
      <c r="D428" s="5">
        <v>0.98</v>
      </c>
      <c r="E428" s="6">
        <v>6.0000000000000003E-71</v>
      </c>
      <c r="F428" s="4">
        <v>66.67</v>
      </c>
      <c r="G428" s="4" t="str">
        <f>HYPERLINK("https://www.ncbi.nlm.nih.gov/nucleotide/XM_037362762.1?report=genbank&amp;log$=nucltop&amp;blast_rank=16&amp;RID=29VWSWEC013","XM_037362762.1")</f>
        <v>XM_037362762.1</v>
      </c>
    </row>
    <row r="429" spans="1:7" x14ac:dyDescent="0.35">
      <c r="A429" t="s">
        <v>646</v>
      </c>
      <c r="B429">
        <v>178</v>
      </c>
      <c r="C429">
        <v>178</v>
      </c>
      <c r="D429" s="2">
        <v>0.97</v>
      </c>
      <c r="E429" s="3">
        <v>2E-52</v>
      </c>
      <c r="F429">
        <v>62.59</v>
      </c>
      <c r="G429" t="str">
        <f>HYPERLINK("https://www.ncbi.nlm.nih.gov/nucleotide/XM_007262411.1?report=genbank&amp;log$=nucltop&amp;blast_rank=17&amp;RID=29VWSWEC013","XM_007262411.1")</f>
        <v>XM_007262411.1</v>
      </c>
    </row>
    <row r="430" spans="1:7" x14ac:dyDescent="0.35">
      <c r="A430" s="4" t="s">
        <v>647</v>
      </c>
      <c r="B430" s="4">
        <v>184</v>
      </c>
      <c r="C430" s="4">
        <v>184</v>
      </c>
      <c r="D430" s="5">
        <v>0.93</v>
      </c>
      <c r="E430" s="6">
        <v>3.0000000000000002E-53</v>
      </c>
      <c r="F430" s="4">
        <v>60.99</v>
      </c>
      <c r="G430" s="4" t="str">
        <f>HYPERLINK("https://www.ncbi.nlm.nih.gov/nucleotide/XM_039055562.1?report=genbank&amp;log$=nucltop&amp;blast_rank=18&amp;RID=29VWSWEC013","XM_039055562.1")</f>
        <v>XM_039055562.1</v>
      </c>
    </row>
    <row r="431" spans="1:7" x14ac:dyDescent="0.35">
      <c r="A431" t="s">
        <v>645</v>
      </c>
      <c r="B431">
        <v>188</v>
      </c>
      <c r="C431">
        <v>188</v>
      </c>
      <c r="D431" s="2">
        <v>0.96</v>
      </c>
      <c r="E431" s="3">
        <v>2E-55</v>
      </c>
      <c r="F431">
        <v>59.87</v>
      </c>
      <c r="G431" t="str">
        <f>HYPERLINK("https://www.ncbi.nlm.nih.gov/nucleotide/XM_007380545.1?report=genbank&amp;log$=nucltop&amp;blast_rank=19&amp;RID=29VWSWEC013","XM_007380545.1")</f>
        <v>XM_007380545.1</v>
      </c>
    </row>
    <row r="432" spans="1:7" x14ac:dyDescent="0.35">
      <c r="A432" t="s">
        <v>650</v>
      </c>
      <c r="B432">
        <v>183</v>
      </c>
      <c r="C432">
        <v>183</v>
      </c>
      <c r="D432" s="2">
        <v>0.99</v>
      </c>
      <c r="E432" s="3">
        <v>2.0000000000000001E-54</v>
      </c>
      <c r="F432">
        <v>58</v>
      </c>
      <c r="G432" t="str">
        <f>HYPERLINK("https://www.ncbi.nlm.nih.gov/nucleotide/XM_019141502.1?report=genbank&amp;log$=nucltop&amp;blast_rank=20&amp;RID=29VWSWEC013","XM_019141502.1")</f>
        <v>XM_019141502.1</v>
      </c>
    </row>
    <row r="433" spans="1:7" x14ac:dyDescent="0.35">
      <c r="A433" s="4" t="s">
        <v>662</v>
      </c>
      <c r="B433" s="4">
        <v>177</v>
      </c>
      <c r="C433" s="4">
        <v>177</v>
      </c>
      <c r="D433" s="5">
        <v>0.99</v>
      </c>
      <c r="E433" s="6">
        <v>1E-50</v>
      </c>
      <c r="F433" s="4">
        <v>58</v>
      </c>
      <c r="G433" s="4" t="str">
        <f>HYPERLINK("https://www.ncbi.nlm.nih.gov/nucleotide/XM_012193914.1?report=genbank&amp;log$=nucltop&amp;blast_rank=21&amp;RID=29VWSWEC013","XM_012193914.1")</f>
        <v>XM_012193914.1</v>
      </c>
    </row>
    <row r="434" spans="1:7" x14ac:dyDescent="0.35">
      <c r="A434" t="s">
        <v>651</v>
      </c>
      <c r="B434">
        <v>188</v>
      </c>
      <c r="C434">
        <v>188</v>
      </c>
      <c r="D434" s="2">
        <v>0.99</v>
      </c>
      <c r="E434" s="3">
        <v>5.9999999999999998E-56</v>
      </c>
      <c r="F434">
        <v>57.72</v>
      </c>
      <c r="G434" t="str">
        <f>HYPERLINK("https://www.ncbi.nlm.nih.gov/nucleotide/XM_018421762.1?report=genbank&amp;log$=nucltop&amp;blast_rank=22&amp;RID=29VWSWEC013","XM_018421762.1")</f>
        <v>XM_018421762.1</v>
      </c>
    </row>
    <row r="435" spans="1:7" x14ac:dyDescent="0.35">
      <c r="A435" s="4" t="s">
        <v>656</v>
      </c>
      <c r="B435" s="4">
        <v>178</v>
      </c>
      <c r="C435" s="4">
        <v>178</v>
      </c>
      <c r="D435" s="5">
        <v>0.99</v>
      </c>
      <c r="E435" s="6">
        <v>5E-53</v>
      </c>
      <c r="F435" s="4">
        <v>57.33</v>
      </c>
      <c r="G435" s="4" t="str">
        <f>HYPERLINK("https://www.ncbi.nlm.nih.gov/nucleotide/XM_003193544.1?report=genbank&amp;log$=nucltop&amp;blast_rank=23&amp;RID=29VWSWEC013","XM_003193544.1")</f>
        <v>XM_003193544.1</v>
      </c>
    </row>
    <row r="436" spans="1:7" x14ac:dyDescent="0.35">
      <c r="A436" t="s">
        <v>653</v>
      </c>
      <c r="B436">
        <v>177</v>
      </c>
      <c r="C436">
        <v>177</v>
      </c>
      <c r="D436" s="2">
        <v>0.99</v>
      </c>
      <c r="E436" s="3">
        <v>1E-52</v>
      </c>
      <c r="F436">
        <v>57.33</v>
      </c>
      <c r="G436" t="str">
        <f>HYPERLINK("https://www.ncbi.nlm.nih.gov/nucleotide/XM_770602.1?report=genbank&amp;log$=nucltop&amp;blast_rank=24&amp;RID=29VWSWEC013","XM_770602.1")</f>
        <v>XM_770602.1</v>
      </c>
    </row>
    <row r="437" spans="1:7" x14ac:dyDescent="0.35">
      <c r="A437" t="s">
        <v>661</v>
      </c>
      <c r="B437">
        <v>177</v>
      </c>
      <c r="C437">
        <v>177</v>
      </c>
      <c r="D437" s="2">
        <v>0.99</v>
      </c>
      <c r="E437" s="3">
        <v>3E-51</v>
      </c>
      <c r="F437">
        <v>57.33</v>
      </c>
      <c r="G437" t="str">
        <f>HYPERLINK("https://www.ncbi.nlm.nih.gov/nucleotide/XM_570451.2?report=genbank&amp;log$=nucltop&amp;blast_rank=25&amp;RID=29VWSWEC013","XM_570451.2")</f>
        <v>XM_570451.2</v>
      </c>
    </row>
    <row r="438" spans="1:7" x14ac:dyDescent="0.35">
      <c r="A438" t="s">
        <v>663</v>
      </c>
      <c r="B438">
        <v>167</v>
      </c>
      <c r="C438">
        <v>167</v>
      </c>
      <c r="D438" s="2">
        <v>0.94</v>
      </c>
      <c r="E438" s="3">
        <v>1.9999999999999999E-49</v>
      </c>
      <c r="F438">
        <v>56.34</v>
      </c>
      <c r="G438" t="str">
        <f>HYPERLINK("https://www.ncbi.nlm.nih.gov/nucleotide/XM_007000367.1?report=genbank&amp;log$=nucltop&amp;blast_rank=26&amp;RID=29VWSWEC013","XM_007000367.1")</f>
        <v>XM_007000367.1</v>
      </c>
    </row>
    <row r="439" spans="1:7" x14ac:dyDescent="0.35">
      <c r="A439" s="4" t="s">
        <v>655</v>
      </c>
      <c r="B439" s="4">
        <v>176</v>
      </c>
      <c r="C439" s="4">
        <v>176</v>
      </c>
      <c r="D439" s="5">
        <v>0.99</v>
      </c>
      <c r="E439" s="6">
        <v>8.0000000000000001E-52</v>
      </c>
      <c r="F439" s="4">
        <v>56.21</v>
      </c>
      <c r="G439" s="4" t="str">
        <f>HYPERLINK("https://www.ncbi.nlm.nih.gov/nucleotide/XM_019176525.1?report=genbank&amp;log$=nucltop&amp;blast_rank=27&amp;RID=29VWSWEC013","XM_019176525.1")</f>
        <v>XM_019176525.1</v>
      </c>
    </row>
    <row r="440" spans="1:7" x14ac:dyDescent="0.35">
      <c r="A440" t="s">
        <v>652</v>
      </c>
      <c r="B440">
        <v>176</v>
      </c>
      <c r="C440">
        <v>176</v>
      </c>
      <c r="D440" s="2">
        <v>0.97</v>
      </c>
      <c r="E440" s="3">
        <v>6E-52</v>
      </c>
      <c r="F440">
        <v>56.16</v>
      </c>
      <c r="G440" t="str">
        <f>HYPERLINK("https://www.ncbi.nlm.nih.gov/nucleotide/XM_032001229.1?report=genbank&amp;log$=nucltop&amp;blast_rank=28&amp;RID=29VWSWEC013","XM_032001229.1")</f>
        <v>XM_032001229.1</v>
      </c>
    </row>
    <row r="441" spans="1:7" x14ac:dyDescent="0.35">
      <c r="A441" t="s">
        <v>649</v>
      </c>
      <c r="B441">
        <v>180</v>
      </c>
      <c r="C441">
        <v>180</v>
      </c>
      <c r="D441" s="2">
        <v>0.99</v>
      </c>
      <c r="E441" s="3">
        <v>2.0000000000000001E-53</v>
      </c>
      <c r="F441">
        <v>55.7</v>
      </c>
      <c r="G441" t="str">
        <f>HYPERLINK("https://www.ncbi.nlm.nih.gov/nucleotide/XM_028616908.1?report=genbank&amp;log$=nucltop&amp;blast_rank=29&amp;RID=29VWSWEC013","XM_028616908.1")</f>
        <v>XM_028616908.1</v>
      </c>
    </row>
    <row r="442" spans="1:7" x14ac:dyDescent="0.35">
      <c r="A442" s="4" t="s">
        <v>658</v>
      </c>
      <c r="B442" s="4">
        <v>175</v>
      </c>
      <c r="C442" s="4">
        <v>175</v>
      </c>
      <c r="D442" s="5">
        <v>0.99</v>
      </c>
      <c r="E442" s="6">
        <v>2E-51</v>
      </c>
      <c r="F442" s="4">
        <v>55.7</v>
      </c>
      <c r="G442" s="4" t="str">
        <f>HYPERLINK("https://www.ncbi.nlm.nih.gov/nucleotide/XM_019146799.1?report=genbank&amp;log$=nucltop&amp;blast_rank=30&amp;RID=29VWSWEC013","XM_019146799.1")</f>
        <v>XM_019146799.1</v>
      </c>
    </row>
    <row r="443" spans="1:7" x14ac:dyDescent="0.35">
      <c r="A443" s="4" t="s">
        <v>659</v>
      </c>
      <c r="B443" s="4">
        <v>172</v>
      </c>
      <c r="C443" s="4">
        <v>172</v>
      </c>
      <c r="D443" s="5">
        <v>0.97</v>
      </c>
      <c r="E443" s="6">
        <v>2.9999999999999999E-50</v>
      </c>
      <c r="F443" s="4">
        <v>55.48</v>
      </c>
      <c r="G443" s="4" t="str">
        <f>HYPERLINK("https://www.ncbi.nlm.nih.gov/nucleotide/XM_019192754.1?report=genbank&amp;log$=nucltop&amp;blast_rank=31&amp;RID=29VWSWEC013","XM_019192754.1")</f>
        <v>XM_019192754.1</v>
      </c>
    </row>
    <row r="444" spans="1:7" x14ac:dyDescent="0.35">
      <c r="A444" s="4" t="s">
        <v>654</v>
      </c>
      <c r="B444" s="4">
        <v>173</v>
      </c>
      <c r="C444" s="4">
        <v>173</v>
      </c>
      <c r="D444" s="5">
        <v>0.99</v>
      </c>
      <c r="E444" s="6">
        <v>2E-50</v>
      </c>
      <c r="F444" s="4">
        <v>55.03</v>
      </c>
      <c r="G444" s="4" t="str">
        <f>HYPERLINK("https://www.ncbi.nlm.nih.gov/nucleotide/XM_019153916.1?report=genbank&amp;log$=nucltop&amp;blast_rank=32&amp;RID=29VWSWEC013","XM_019153916.1")</f>
        <v>XM_019153916.1</v>
      </c>
    </row>
    <row r="445" spans="1:7" x14ac:dyDescent="0.35">
      <c r="A445" s="4" t="s">
        <v>660</v>
      </c>
      <c r="B445" s="4">
        <v>177</v>
      </c>
      <c r="C445" s="4">
        <v>177</v>
      </c>
      <c r="D445" s="5">
        <v>0.99</v>
      </c>
      <c r="E445" s="6">
        <v>1E-50</v>
      </c>
      <c r="F445" s="4">
        <v>54.36</v>
      </c>
      <c r="G445" s="4" t="str">
        <f>HYPERLINK("https://www.ncbi.nlm.nih.gov/nucleotide/XM_022013753.1?report=genbank&amp;log$=nucltop&amp;blast_rank=33&amp;RID=29VWSWEC013","XM_022013753.1")</f>
        <v>XM_022013753.1</v>
      </c>
    </row>
    <row r="446" spans="1:7" x14ac:dyDescent="0.35">
      <c r="A446" s="4" t="s">
        <v>657</v>
      </c>
      <c r="B446" s="4">
        <v>173</v>
      </c>
      <c r="C446" s="4">
        <v>173</v>
      </c>
      <c r="D446" s="5">
        <v>0.99</v>
      </c>
      <c r="E446" s="6">
        <v>2E-50</v>
      </c>
      <c r="F446" s="4">
        <v>54.36</v>
      </c>
      <c r="G446" s="4" t="str">
        <f>HYPERLINK("https://www.ncbi.nlm.nih.gov/nucleotide/XM_018408792.1?report=genbank&amp;log$=nucltop&amp;blast_rank=34&amp;RID=29VWSWEC013","XM_018408792.1")</f>
        <v>XM_018408792.1</v>
      </c>
    </row>
    <row r="447" spans="1:7" x14ac:dyDescent="0.35">
      <c r="A447" t="s">
        <v>669</v>
      </c>
      <c r="B447">
        <v>161</v>
      </c>
      <c r="C447">
        <v>161</v>
      </c>
      <c r="D447" s="2">
        <v>0.97</v>
      </c>
      <c r="E447" s="3">
        <v>4.9999999999999998E-45</v>
      </c>
      <c r="F447">
        <v>54.36</v>
      </c>
      <c r="G447" t="str">
        <f>HYPERLINK("https://www.ncbi.nlm.nih.gov/nucleotide/XM_007407781.1?report=genbank&amp;log$=nucltop&amp;blast_rank=35&amp;RID=29VWSWEC013","XM_007407781.1")</f>
        <v>XM_007407781.1</v>
      </c>
    </row>
    <row r="448" spans="1:7" x14ac:dyDescent="0.35">
      <c r="A448" t="s">
        <v>664</v>
      </c>
      <c r="B448">
        <v>156</v>
      </c>
      <c r="C448">
        <v>156</v>
      </c>
      <c r="D448" s="2">
        <v>0.96</v>
      </c>
      <c r="E448" s="3">
        <v>6.0000000000000002E-45</v>
      </c>
      <c r="F448">
        <v>53.79</v>
      </c>
      <c r="G448" t="str">
        <f>HYPERLINK("https://www.ncbi.nlm.nih.gov/nucleotide/AY811864.1?report=genbank&amp;log$=nucltop&amp;blast_rank=36&amp;RID=29VWSWEC013","AY811864.1")</f>
        <v>AY811864.1</v>
      </c>
    </row>
    <row r="449" spans="1:7" x14ac:dyDescent="0.35">
      <c r="A449" t="s">
        <v>667</v>
      </c>
      <c r="B449">
        <v>156</v>
      </c>
      <c r="C449">
        <v>156</v>
      </c>
      <c r="D449" s="2">
        <v>0.96</v>
      </c>
      <c r="E449" s="3">
        <v>9.9999999999999995E-45</v>
      </c>
      <c r="F449">
        <v>52.41</v>
      </c>
      <c r="G449" t="str">
        <f>HYPERLINK("https://www.ncbi.nlm.nih.gov/nucleotide/XM_037213207.1?report=genbank&amp;log$=nucltop&amp;blast_rank=37&amp;RID=29VWSWEC013","XM_037213207.1")</f>
        <v>XM_037213207.1</v>
      </c>
    </row>
    <row r="450" spans="1:7" x14ac:dyDescent="0.35">
      <c r="A450" t="s">
        <v>668</v>
      </c>
      <c r="B450">
        <v>156</v>
      </c>
      <c r="C450">
        <v>156</v>
      </c>
      <c r="D450" s="2">
        <v>0.96</v>
      </c>
      <c r="E450" s="3">
        <v>1.9999999999999999E-44</v>
      </c>
      <c r="F450">
        <v>52.41</v>
      </c>
      <c r="G450" t="str">
        <f>HYPERLINK("https://www.ncbi.nlm.nih.gov/nucleotide/XM_037212088.1?report=genbank&amp;log$=nucltop&amp;blast_rank=38&amp;RID=29VWSWEC013","XM_037212088.1")</f>
        <v>XM_037212088.1</v>
      </c>
    </row>
    <row r="451" spans="1:7" x14ac:dyDescent="0.35">
      <c r="A451" t="s">
        <v>671</v>
      </c>
      <c r="B451">
        <v>156</v>
      </c>
      <c r="C451">
        <v>156</v>
      </c>
      <c r="D451" s="2">
        <v>0.96</v>
      </c>
      <c r="E451" s="3">
        <v>3.0000000000000002E-44</v>
      </c>
      <c r="F451">
        <v>52.41</v>
      </c>
      <c r="G451" t="str">
        <f>HYPERLINK("https://www.ncbi.nlm.nih.gov/nucleotide/XM_037212087.1?report=genbank&amp;log$=nucltop&amp;blast_rank=39&amp;RID=29VWSWEC013","XM_037212087.1")</f>
        <v>XM_037212087.1</v>
      </c>
    </row>
    <row r="452" spans="1:7" x14ac:dyDescent="0.35">
      <c r="A452" t="s">
        <v>670</v>
      </c>
      <c r="B452">
        <v>156</v>
      </c>
      <c r="C452">
        <v>156</v>
      </c>
      <c r="D452" s="2">
        <v>0.97</v>
      </c>
      <c r="E452" s="3">
        <v>3.0000000000000002E-44</v>
      </c>
      <c r="F452">
        <v>52.05</v>
      </c>
      <c r="G452" t="str">
        <f>HYPERLINK("https://www.ncbi.nlm.nih.gov/nucleotide/XM_037212086.1?report=genbank&amp;log$=nucltop&amp;blast_rank=40&amp;RID=29VWSWEC013","XM_037212086.1")</f>
        <v>XM_037212086.1</v>
      </c>
    </row>
    <row r="453" spans="1:7" x14ac:dyDescent="0.35">
      <c r="A453" t="s">
        <v>1345</v>
      </c>
      <c r="B453">
        <v>158</v>
      </c>
      <c r="C453">
        <v>158</v>
      </c>
      <c r="D453" s="2">
        <v>0.98</v>
      </c>
      <c r="E453" s="3">
        <v>2.0000000000000002E-43</v>
      </c>
      <c r="F453">
        <v>52.03</v>
      </c>
      <c r="G453" t="str">
        <f>HYPERLINK("https://www.ncbi.nlm.nih.gov/nucleotide/XM_029357753.1?report=genbank&amp;log$=nucltop&amp;blast_rank=41&amp;RID=29VWSWEC013","XM_029357753.1")</f>
        <v>XM_029357753.1</v>
      </c>
    </row>
    <row r="454" spans="1:7" x14ac:dyDescent="0.35">
      <c r="A454" s="4" t="s">
        <v>665</v>
      </c>
      <c r="B454" s="4">
        <v>160</v>
      </c>
      <c r="C454" s="4">
        <v>160</v>
      </c>
      <c r="D454" s="5">
        <v>0.98</v>
      </c>
      <c r="E454" s="6">
        <v>5.0000000000000001E-47</v>
      </c>
      <c r="F454" s="4">
        <v>52</v>
      </c>
      <c r="G454" s="4" t="str">
        <f>HYPERLINK("https://www.ncbi.nlm.nih.gov/nucleotide/XM_016414163.1?report=genbank&amp;log$=nucltop&amp;blast_rank=42&amp;RID=29VWSWEC013","XM_016414163.1")</f>
        <v>XM_016414163.1</v>
      </c>
    </row>
    <row r="455" spans="1:7" x14ac:dyDescent="0.35">
      <c r="A455" t="s">
        <v>1346</v>
      </c>
      <c r="B455">
        <v>155</v>
      </c>
      <c r="C455">
        <v>155</v>
      </c>
      <c r="D455" s="2">
        <v>0.96</v>
      </c>
      <c r="E455" s="3">
        <v>1.0000000000000001E-43</v>
      </c>
      <c r="F455">
        <v>51.72</v>
      </c>
      <c r="G455" t="str">
        <f>HYPERLINK("https://www.ncbi.nlm.nih.gov/nucleotide/XM_030748925.1?report=genbank&amp;log$=nucltop&amp;blast_rank=43&amp;RID=29VWSWEC013","XM_030748925.1")</f>
        <v>XM_030748925.1</v>
      </c>
    </row>
    <row r="456" spans="1:7" x14ac:dyDescent="0.35">
      <c r="A456" t="s">
        <v>1347</v>
      </c>
      <c r="B456">
        <v>155</v>
      </c>
      <c r="C456">
        <v>155</v>
      </c>
      <c r="D456" s="2">
        <v>0.96</v>
      </c>
      <c r="E456" s="3">
        <v>1.0000000000000001E-43</v>
      </c>
      <c r="F456">
        <v>51.72</v>
      </c>
      <c r="G456" t="str">
        <f>HYPERLINK("https://www.ncbi.nlm.nih.gov/nucleotide/XM_030748926.1?report=genbank&amp;log$=nucltop&amp;blast_rank=44&amp;RID=29VWSWEC013","XM_030748926.1")</f>
        <v>XM_030748926.1</v>
      </c>
    </row>
    <row r="457" spans="1:7" x14ac:dyDescent="0.35">
      <c r="A457" t="s">
        <v>1348</v>
      </c>
      <c r="B457">
        <v>155</v>
      </c>
      <c r="C457">
        <v>155</v>
      </c>
      <c r="D457" s="2">
        <v>0.96</v>
      </c>
      <c r="E457" s="3">
        <v>2.0000000000000002E-43</v>
      </c>
      <c r="F457">
        <v>51.72</v>
      </c>
      <c r="G457" t="str">
        <f>HYPERLINK("https://www.ncbi.nlm.nih.gov/nucleotide/XM_030748923.1?report=genbank&amp;log$=nucltop&amp;blast_rank=45&amp;RID=29VWSWEC013","XM_030748923.1")</f>
        <v>XM_030748923.1</v>
      </c>
    </row>
    <row r="458" spans="1:7" x14ac:dyDescent="0.35">
      <c r="A458" t="s">
        <v>1349</v>
      </c>
      <c r="B458">
        <v>155</v>
      </c>
      <c r="C458">
        <v>155</v>
      </c>
      <c r="D458" s="2">
        <v>0.96</v>
      </c>
      <c r="E458" s="3">
        <v>2.0000000000000002E-43</v>
      </c>
      <c r="F458">
        <v>51.72</v>
      </c>
      <c r="G458" t="str">
        <f>HYPERLINK("https://www.ncbi.nlm.nih.gov/nucleotide/XM_030748922.1?report=genbank&amp;log$=nucltop&amp;blast_rank=46&amp;RID=29VWSWEC013","XM_030748922.1")</f>
        <v>XM_030748922.1</v>
      </c>
    </row>
    <row r="459" spans="1:7" x14ac:dyDescent="0.35">
      <c r="A459" t="s">
        <v>1350</v>
      </c>
      <c r="B459">
        <v>155</v>
      </c>
      <c r="C459">
        <v>155</v>
      </c>
      <c r="D459" s="2">
        <v>0.96</v>
      </c>
      <c r="E459" s="3">
        <v>2.0000000000000002E-43</v>
      </c>
      <c r="F459">
        <v>51.72</v>
      </c>
      <c r="G459" t="str">
        <f>HYPERLINK("https://www.ncbi.nlm.nih.gov/nucleotide/XM_030748924.1?report=genbank&amp;log$=nucltop&amp;blast_rank=47&amp;RID=29VWSWEC013","XM_030748924.1")</f>
        <v>XM_030748924.1</v>
      </c>
    </row>
    <row r="460" spans="1:7" x14ac:dyDescent="0.35">
      <c r="A460" t="s">
        <v>686</v>
      </c>
      <c r="B460">
        <v>155</v>
      </c>
      <c r="C460">
        <v>155</v>
      </c>
      <c r="D460" s="2">
        <v>0.96</v>
      </c>
      <c r="E460" s="3">
        <v>2.0000000000000002E-43</v>
      </c>
      <c r="F460">
        <v>51.72</v>
      </c>
      <c r="G460" t="str">
        <f>HYPERLINK("https://www.ncbi.nlm.nih.gov/nucleotide/XM_013088085.2?report=genbank&amp;log$=nucltop&amp;blast_rank=48&amp;RID=29VWSWEC013","XM_013088085.2")</f>
        <v>XM_013088085.2</v>
      </c>
    </row>
    <row r="461" spans="1:7" x14ac:dyDescent="0.35">
      <c r="A461" s="4" t="s">
        <v>696</v>
      </c>
      <c r="B461" s="4">
        <v>153</v>
      </c>
      <c r="C461" s="4">
        <v>153</v>
      </c>
      <c r="D461" s="5">
        <v>0.96</v>
      </c>
      <c r="E461" s="6">
        <v>4.0000000000000003E-43</v>
      </c>
      <c r="F461" s="4">
        <v>51.72</v>
      </c>
      <c r="G461" s="4" t="str">
        <f>HYPERLINK("https://www.ncbi.nlm.nih.gov/nucleotide/NM_001304084.1?report=genbank&amp;log$=nucltop&amp;blast_rank=49&amp;RID=29VWSWEC013","NM_001304084.1")</f>
        <v>NM_001304084.1</v>
      </c>
    </row>
    <row r="462" spans="1:7" x14ac:dyDescent="0.35">
      <c r="A462" s="4" t="s">
        <v>701</v>
      </c>
      <c r="B462" s="4">
        <v>153</v>
      </c>
      <c r="C462" s="4">
        <v>153</v>
      </c>
      <c r="D462" s="5">
        <v>0.96</v>
      </c>
      <c r="E462" s="6">
        <v>5.0000000000000002E-43</v>
      </c>
      <c r="F462" s="4">
        <v>51.72</v>
      </c>
      <c r="G462" s="4" t="str">
        <f>HYPERLINK("https://www.ncbi.nlm.nih.gov/nucleotide/BT079919.1?report=genbank&amp;log$=nucltop&amp;blast_rank=50&amp;RID=29VWSWEC013","BT079919.1")</f>
        <v>BT079919.1</v>
      </c>
    </row>
    <row r="463" spans="1:7" x14ac:dyDescent="0.35">
      <c r="A463" t="s">
        <v>666</v>
      </c>
      <c r="B463">
        <v>163</v>
      </c>
      <c r="C463">
        <v>163</v>
      </c>
      <c r="D463" s="2">
        <v>0.98</v>
      </c>
      <c r="E463" s="3">
        <v>9.9999999999999997E-48</v>
      </c>
      <c r="F463">
        <v>51.33</v>
      </c>
      <c r="G463" t="str">
        <f>HYPERLINK("https://www.ncbi.nlm.nih.gov/nucleotide/XM_018413255.1?report=genbank&amp;log$=nucltop&amp;blast_rank=51&amp;RID=29VWSWEC013","XM_018413255.1")</f>
        <v>XM_018413255.1</v>
      </c>
    </row>
    <row r="464" spans="1:7" x14ac:dyDescent="0.35">
      <c r="A464" t="s">
        <v>648</v>
      </c>
      <c r="B464">
        <v>191</v>
      </c>
      <c r="C464">
        <v>191</v>
      </c>
      <c r="D464" s="2">
        <v>0.96</v>
      </c>
      <c r="E464" s="3">
        <v>4E-55</v>
      </c>
      <c r="F464">
        <v>51.3</v>
      </c>
      <c r="G464" t="str">
        <f>HYPERLINK("https://www.ncbi.nlm.nih.gov/nucleotide/XM_007306985.1?report=genbank&amp;log$=nucltop&amp;blast_rank=52&amp;RID=29VWSWEC013","XM_007306985.1")</f>
        <v>XM_007306985.1</v>
      </c>
    </row>
    <row r="465" spans="1:7" x14ac:dyDescent="0.35">
      <c r="A465" t="s">
        <v>678</v>
      </c>
      <c r="B465">
        <v>153</v>
      </c>
      <c r="C465">
        <v>153</v>
      </c>
      <c r="D465" s="2">
        <v>0.96</v>
      </c>
      <c r="E465" s="3">
        <v>2.0000000000000002E-43</v>
      </c>
      <c r="F465">
        <v>51.03</v>
      </c>
      <c r="G465" t="str">
        <f>HYPERLINK("https://www.ncbi.nlm.nih.gov/nucleotide/XM_029504171.1?report=genbank&amp;log$=nucltop&amp;blast_rank=53&amp;RID=29VWSWEC013","XM_029504171.1")</f>
        <v>XM_029504171.1</v>
      </c>
    </row>
    <row r="466" spans="1:7" x14ac:dyDescent="0.35">
      <c r="A466" t="s">
        <v>687</v>
      </c>
      <c r="B466">
        <v>153</v>
      </c>
      <c r="C466">
        <v>153</v>
      </c>
      <c r="D466" s="2">
        <v>0.96</v>
      </c>
      <c r="E466" s="3">
        <v>2.0000000000000002E-43</v>
      </c>
      <c r="F466">
        <v>51.03</v>
      </c>
      <c r="G466" t="str">
        <f>HYPERLINK("https://www.ncbi.nlm.nih.gov/nucleotide/XM_027287284.1?report=genbank&amp;log$=nucltop&amp;blast_rank=54&amp;RID=29VWSWEC013","XM_027287284.1")</f>
        <v>XM_027287284.1</v>
      </c>
    </row>
    <row r="467" spans="1:7" x14ac:dyDescent="0.35">
      <c r="A467" s="4" t="s">
        <v>694</v>
      </c>
      <c r="B467" s="4">
        <v>153</v>
      </c>
      <c r="C467" s="4">
        <v>153</v>
      </c>
      <c r="D467" s="5">
        <v>0.96</v>
      </c>
      <c r="E467" s="6">
        <v>4.0000000000000003E-43</v>
      </c>
      <c r="F467" s="4">
        <v>51.03</v>
      </c>
      <c r="G467" s="4" t="str">
        <f>HYPERLINK("https://www.ncbi.nlm.nih.gov/nucleotide/BT057192.1?report=genbank&amp;log$=nucltop&amp;blast_rank=55&amp;RID=29VWSWEC013","BT057192.1")</f>
        <v>BT057192.1</v>
      </c>
    </row>
    <row r="468" spans="1:7" x14ac:dyDescent="0.35">
      <c r="A468" s="4" t="s">
        <v>699</v>
      </c>
      <c r="B468" s="4">
        <v>153</v>
      </c>
      <c r="C468" s="4">
        <v>153</v>
      </c>
      <c r="D468" s="5">
        <v>0.96</v>
      </c>
      <c r="E468" s="6">
        <v>4.0000000000000003E-43</v>
      </c>
      <c r="F468" s="4">
        <v>51.03</v>
      </c>
      <c r="G468" s="4" t="str">
        <f>HYPERLINK("https://www.ncbi.nlm.nih.gov/nucleotide/BT057585.1?report=genbank&amp;log$=nucltop&amp;blast_rank=56&amp;RID=29VWSWEC013","BT057585.1")</f>
        <v>BT057585.1</v>
      </c>
    </row>
    <row r="469" spans="1:7" x14ac:dyDescent="0.35">
      <c r="A469" t="s">
        <v>688</v>
      </c>
      <c r="B469">
        <v>153</v>
      </c>
      <c r="C469">
        <v>153</v>
      </c>
      <c r="D469" s="2">
        <v>0.96</v>
      </c>
      <c r="E469" s="3">
        <v>4.0000000000000003E-43</v>
      </c>
      <c r="F469">
        <v>51.03</v>
      </c>
      <c r="G469" t="str">
        <f>HYPERLINK("https://www.ncbi.nlm.nih.gov/nucleotide/XM_022765801.1?report=genbank&amp;log$=nucltop&amp;blast_rank=57&amp;RID=29VWSWEC013","XM_022765801.1")</f>
        <v>XM_022765801.1</v>
      </c>
    </row>
    <row r="470" spans="1:7" x14ac:dyDescent="0.35">
      <c r="A470" s="4" t="s">
        <v>1351</v>
      </c>
      <c r="B470" s="4">
        <v>154</v>
      </c>
      <c r="C470" s="4">
        <v>154</v>
      </c>
      <c r="D470" s="5">
        <v>0.96</v>
      </c>
      <c r="E470" s="6">
        <v>4.0000000000000003E-43</v>
      </c>
      <c r="F470" s="4">
        <v>51.03</v>
      </c>
      <c r="G470" s="4" t="str">
        <f>HYPERLINK("https://www.ncbi.nlm.nih.gov/nucleotide/NM_001090961.1?report=genbank&amp;log$=nucltop&amp;blast_rank=58&amp;RID=29VWSWEC013","NM_001090961.1")</f>
        <v>NM_001090961.1</v>
      </c>
    </row>
    <row r="471" spans="1:7" x14ac:dyDescent="0.35">
      <c r="A471" t="s">
        <v>708</v>
      </c>
      <c r="B471">
        <v>153</v>
      </c>
      <c r="C471">
        <v>153</v>
      </c>
      <c r="D471" s="2">
        <v>0.96</v>
      </c>
      <c r="E471" s="3">
        <v>5.0000000000000002E-43</v>
      </c>
      <c r="F471">
        <v>51.03</v>
      </c>
      <c r="G471" t="str">
        <f>HYPERLINK("https://www.ncbi.nlm.nih.gov/nucleotide/XM_035608723.1?report=genbank&amp;log$=nucltop&amp;blast_rank=59&amp;RID=29VWSWEC013","XM_035608723.1")</f>
        <v>XM_035608723.1</v>
      </c>
    </row>
    <row r="472" spans="1:7" x14ac:dyDescent="0.35">
      <c r="A472" t="s">
        <v>953</v>
      </c>
      <c r="B472">
        <v>153</v>
      </c>
      <c r="C472">
        <v>153</v>
      </c>
      <c r="D472" s="2">
        <v>0.96</v>
      </c>
      <c r="E472" s="3">
        <v>5.0000000000000002E-43</v>
      </c>
      <c r="F472">
        <v>51.03</v>
      </c>
      <c r="G472" t="str">
        <f>HYPERLINK("https://www.ncbi.nlm.nih.gov/nucleotide/XM_028978798.1?report=genbank&amp;log$=nucltop&amp;blast_rank=60&amp;RID=29VWSWEC013","XM_028978798.1")</f>
        <v>XM_028978798.1</v>
      </c>
    </row>
    <row r="473" spans="1:7" x14ac:dyDescent="0.35">
      <c r="A473" t="s">
        <v>709</v>
      </c>
      <c r="B473">
        <v>153</v>
      </c>
      <c r="C473">
        <v>153</v>
      </c>
      <c r="D473" s="2">
        <v>0.96</v>
      </c>
      <c r="E473" s="3">
        <v>5.0000000000000002E-43</v>
      </c>
      <c r="F473">
        <v>51.03</v>
      </c>
      <c r="G473" t="str">
        <f>HYPERLINK("https://www.ncbi.nlm.nih.gov/nucleotide/XM_038994301.1?report=genbank&amp;log$=nucltop&amp;blast_rank=61&amp;RID=29VWSWEC013","XM_038994301.1")</f>
        <v>XM_038994301.1</v>
      </c>
    </row>
    <row r="474" spans="1:7" x14ac:dyDescent="0.35">
      <c r="A474" t="s">
        <v>695</v>
      </c>
      <c r="B474">
        <v>154</v>
      </c>
      <c r="C474">
        <v>154</v>
      </c>
      <c r="D474" s="2">
        <v>0.96</v>
      </c>
      <c r="E474" s="3">
        <v>5.0000000000000002E-43</v>
      </c>
      <c r="F474">
        <v>51.03</v>
      </c>
      <c r="G474" t="str">
        <f>HYPERLINK("https://www.ncbi.nlm.nih.gov/nucleotide/XM_014031170.1?report=genbank&amp;log$=nucltop&amp;blast_rank=62&amp;RID=29VWSWEC013","XM_014031170.1")</f>
        <v>XM_014031170.1</v>
      </c>
    </row>
    <row r="475" spans="1:7" x14ac:dyDescent="0.35">
      <c r="A475" t="s">
        <v>954</v>
      </c>
      <c r="B475">
        <v>153</v>
      </c>
      <c r="C475">
        <v>153</v>
      </c>
      <c r="D475" s="2">
        <v>0.96</v>
      </c>
      <c r="E475" s="3">
        <v>5.0000000000000002E-43</v>
      </c>
      <c r="F475">
        <v>51.03</v>
      </c>
      <c r="G475" t="str">
        <f>HYPERLINK("https://www.ncbi.nlm.nih.gov/nucleotide/XM_028978797.1?report=genbank&amp;log$=nucltop&amp;blast_rank=63&amp;RID=29VWSWEC013","XM_028978797.1")</f>
        <v>XM_028978797.1</v>
      </c>
    </row>
    <row r="476" spans="1:7" x14ac:dyDescent="0.35">
      <c r="A476" t="s">
        <v>700</v>
      </c>
      <c r="B476">
        <v>153</v>
      </c>
      <c r="C476">
        <v>153</v>
      </c>
      <c r="D476" s="2">
        <v>0.96</v>
      </c>
      <c r="E476" s="3">
        <v>5.0000000000000002E-43</v>
      </c>
      <c r="F476">
        <v>51.03</v>
      </c>
      <c r="G476" t="str">
        <f>HYPERLINK("https://www.ncbi.nlm.nih.gov/nucleotide/XM_029625952.1?report=genbank&amp;log$=nucltop&amp;blast_rank=64&amp;RID=29VWSWEC013","XM_029625952.1")</f>
        <v>XM_029625952.1</v>
      </c>
    </row>
    <row r="477" spans="1:7" x14ac:dyDescent="0.35">
      <c r="A477" t="s">
        <v>704</v>
      </c>
      <c r="B477">
        <v>153</v>
      </c>
      <c r="C477">
        <v>153</v>
      </c>
      <c r="D477" s="2">
        <v>0.96</v>
      </c>
      <c r="E477" s="3">
        <v>5.0000000000000002E-43</v>
      </c>
      <c r="F477">
        <v>51.03</v>
      </c>
      <c r="G477" t="str">
        <f>HYPERLINK("https://www.ncbi.nlm.nih.gov/nucleotide/XM_034112645.1?report=genbank&amp;log$=nucltop&amp;blast_rank=65&amp;RID=29VWSWEC013","XM_034112645.1")</f>
        <v>XM_034112645.1</v>
      </c>
    </row>
    <row r="478" spans="1:7" x14ac:dyDescent="0.35">
      <c r="A478" t="s">
        <v>715</v>
      </c>
      <c r="B478">
        <v>153</v>
      </c>
      <c r="C478">
        <v>153</v>
      </c>
      <c r="D478" s="2">
        <v>0.96</v>
      </c>
      <c r="E478" s="3">
        <v>5.0000000000000002E-43</v>
      </c>
      <c r="F478">
        <v>51.03</v>
      </c>
      <c r="G478" t="str">
        <f>HYPERLINK("https://www.ncbi.nlm.nih.gov/nucleotide/XM_029739136.1?report=genbank&amp;log$=nucltop&amp;blast_rank=66&amp;RID=29VWSWEC013","XM_029739136.1")</f>
        <v>XM_029739136.1</v>
      </c>
    </row>
    <row r="479" spans="1:7" x14ac:dyDescent="0.35">
      <c r="A479" t="s">
        <v>705</v>
      </c>
      <c r="B479">
        <v>153</v>
      </c>
      <c r="C479">
        <v>153</v>
      </c>
      <c r="D479" s="2">
        <v>0.96</v>
      </c>
      <c r="E479" s="3">
        <v>5.0000000000000002E-43</v>
      </c>
      <c r="F479">
        <v>51.03</v>
      </c>
      <c r="G479" t="str">
        <f>HYPERLINK("https://www.ncbi.nlm.nih.gov/nucleotide/XM_029737379.1?report=genbank&amp;log$=nucltop&amp;blast_rank=67&amp;RID=29VWSWEC013","XM_029737379.1")</f>
        <v>XM_029737379.1</v>
      </c>
    </row>
    <row r="480" spans="1:7" x14ac:dyDescent="0.35">
      <c r="A480" t="s">
        <v>703</v>
      </c>
      <c r="B480">
        <v>154</v>
      </c>
      <c r="C480">
        <v>154</v>
      </c>
      <c r="D480" s="2">
        <v>0.96</v>
      </c>
      <c r="E480" s="3">
        <v>6.0000000000000001E-43</v>
      </c>
      <c r="F480">
        <v>51.03</v>
      </c>
      <c r="G480" t="str">
        <f>HYPERLINK("https://www.ncbi.nlm.nih.gov/nucleotide/XM_004078394.4?report=genbank&amp;log$=nucltop&amp;blast_rank=68&amp;RID=29VWSWEC013","XM_004078394.4")</f>
        <v>XM_004078394.4</v>
      </c>
    </row>
    <row r="481" spans="1:7" x14ac:dyDescent="0.35">
      <c r="A481" s="4" t="s">
        <v>711</v>
      </c>
      <c r="B481" s="4">
        <v>152</v>
      </c>
      <c r="C481" s="4">
        <v>152</v>
      </c>
      <c r="D481" s="5">
        <v>0.97</v>
      </c>
      <c r="E481" s="6">
        <v>3.0000000000000002E-44</v>
      </c>
      <c r="F481" s="4">
        <v>50.68</v>
      </c>
      <c r="G481" s="4" t="str">
        <f>HYPERLINK("https://www.ncbi.nlm.nih.gov/nucleotide/XM_029014759.1?report=genbank&amp;log$=nucltop&amp;blast_rank=69&amp;RID=29VWSWEC013","XM_029014759.1")</f>
        <v>XM_029014759.1</v>
      </c>
    </row>
    <row r="482" spans="1:7" x14ac:dyDescent="0.35">
      <c r="A482" s="4" t="s">
        <v>712</v>
      </c>
      <c r="B482" s="4">
        <v>152</v>
      </c>
      <c r="C482" s="4">
        <v>152</v>
      </c>
      <c r="D482" s="5">
        <v>0.97</v>
      </c>
      <c r="E482" s="6">
        <v>3.0000000000000002E-44</v>
      </c>
      <c r="F482" s="4">
        <v>50.68</v>
      </c>
      <c r="G482" s="4" t="str">
        <f>HYPERLINK("https://www.ncbi.nlm.nih.gov/nucleotide/XM_009693149.1?report=genbank&amp;log$=nucltop&amp;blast_rank=70&amp;RID=29VWSWEC013","XM_009693149.1")</f>
        <v>XM_009693149.1</v>
      </c>
    </row>
    <row r="483" spans="1:7" x14ac:dyDescent="0.35">
      <c r="A483" s="4" t="s">
        <v>861</v>
      </c>
      <c r="B483" s="4">
        <v>152</v>
      </c>
      <c r="C483" s="4">
        <v>152</v>
      </c>
      <c r="D483" s="5">
        <v>0.97</v>
      </c>
      <c r="E483" s="6">
        <v>3.9999999999999998E-44</v>
      </c>
      <c r="F483" s="4">
        <v>50.68</v>
      </c>
      <c r="G483" s="4" t="str">
        <f>HYPERLINK("https://www.ncbi.nlm.nih.gov/nucleotide/XM_758375.1?report=genbank&amp;log$=nucltop&amp;blast_rank=71&amp;RID=29VWSWEC013","XM_758375.1")</f>
        <v>XM_758375.1</v>
      </c>
    </row>
    <row r="484" spans="1:7" x14ac:dyDescent="0.35">
      <c r="A484" s="4" t="s">
        <v>862</v>
      </c>
      <c r="B484" s="4">
        <v>152</v>
      </c>
      <c r="C484" s="4">
        <v>152</v>
      </c>
      <c r="D484" s="5">
        <v>0.97</v>
      </c>
      <c r="E484" s="6">
        <v>3.9999999999999998E-44</v>
      </c>
      <c r="F484" s="4">
        <v>50.68</v>
      </c>
      <c r="G484" s="4" t="str">
        <f>HYPERLINK("https://www.ncbi.nlm.nih.gov/nucleotide/XM_950041.1?report=genbank&amp;log$=nucltop&amp;blast_rank=72&amp;RID=29VWSWEC013","XM_950041.1")</f>
        <v>XM_950041.1</v>
      </c>
    </row>
    <row r="485" spans="1:7" x14ac:dyDescent="0.35">
      <c r="A485" t="s">
        <v>675</v>
      </c>
      <c r="B485">
        <v>153</v>
      </c>
      <c r="C485">
        <v>153</v>
      </c>
      <c r="D485" s="2">
        <v>0.96</v>
      </c>
      <c r="E485" s="3">
        <v>1.0000000000000001E-43</v>
      </c>
      <c r="F485">
        <v>50.34</v>
      </c>
      <c r="G485" t="str">
        <f>HYPERLINK("https://www.ncbi.nlm.nih.gov/nucleotide/AB528700.1?report=genbank&amp;log$=nucltop&amp;blast_rank=73&amp;RID=29VWSWEC013","AB528700.1")</f>
        <v>AB528700.1</v>
      </c>
    </row>
    <row r="486" spans="1:7" x14ac:dyDescent="0.35">
      <c r="A486" s="4" t="s">
        <v>676</v>
      </c>
      <c r="B486" s="4">
        <v>152</v>
      </c>
      <c r="C486" s="4">
        <v>152</v>
      </c>
      <c r="D486" s="5">
        <v>0.96</v>
      </c>
      <c r="E486" s="6">
        <v>1.0000000000000001E-43</v>
      </c>
      <c r="F486" s="4">
        <v>50.34</v>
      </c>
      <c r="G486" s="4" t="str">
        <f>HYPERLINK("https://www.ncbi.nlm.nih.gov/nucleotide/BT019345.1?report=genbank&amp;log$=nucltop&amp;blast_rank=74&amp;RID=29VWSWEC013","BT019345.1")</f>
        <v>BT019345.1</v>
      </c>
    </row>
    <row r="487" spans="1:7" x14ac:dyDescent="0.35">
      <c r="A487" s="4" t="s">
        <v>677</v>
      </c>
      <c r="B487" s="4">
        <v>152</v>
      </c>
      <c r="C487" s="4">
        <v>152</v>
      </c>
      <c r="D487" s="5">
        <v>0.96</v>
      </c>
      <c r="E487" s="6">
        <v>1.0000000000000001E-43</v>
      </c>
      <c r="F487" s="4">
        <v>50.34</v>
      </c>
      <c r="G487" s="4" t="str">
        <f>HYPERLINK("https://www.ncbi.nlm.nih.gov/nucleotide/BT019344.1?report=genbank&amp;log$=nucltop&amp;blast_rank=75&amp;RID=29VWSWEC013","BT019344.1")</f>
        <v>BT019344.1</v>
      </c>
    </row>
    <row r="488" spans="1:7" x14ac:dyDescent="0.35">
      <c r="A488" s="4" t="s">
        <v>682</v>
      </c>
      <c r="B488" s="4">
        <v>152</v>
      </c>
      <c r="C488" s="4">
        <v>152</v>
      </c>
      <c r="D488" s="5">
        <v>0.96</v>
      </c>
      <c r="E488" s="6">
        <v>2.0000000000000002E-43</v>
      </c>
      <c r="F488" s="4">
        <v>50.34</v>
      </c>
      <c r="G488" s="4" t="str">
        <f>HYPERLINK("https://www.ncbi.nlm.nih.gov/nucleotide/MG132745.1?report=genbank&amp;log$=nucltop&amp;blast_rank=76&amp;RID=29VWSWEC013","MG132745.1")</f>
        <v>MG132745.1</v>
      </c>
    </row>
    <row r="489" spans="1:7" x14ac:dyDescent="0.35">
      <c r="A489" t="s">
        <v>679</v>
      </c>
      <c r="B489">
        <v>152</v>
      </c>
      <c r="C489">
        <v>152</v>
      </c>
      <c r="D489" s="2">
        <v>0.96</v>
      </c>
      <c r="E489" s="3">
        <v>2.0000000000000002E-43</v>
      </c>
      <c r="F489">
        <v>50.34</v>
      </c>
      <c r="G489" t="str">
        <f>HYPERLINK("https://www.ncbi.nlm.nih.gov/nucleotide/XM_006883342.1?report=genbank&amp;log$=nucltop&amp;blast_rank=77&amp;RID=29VWSWEC013","XM_006883342.1")</f>
        <v>XM_006883342.1</v>
      </c>
    </row>
    <row r="490" spans="1:7" x14ac:dyDescent="0.35">
      <c r="A490" t="s">
        <v>681</v>
      </c>
      <c r="B490">
        <v>151</v>
      </c>
      <c r="C490">
        <v>151</v>
      </c>
      <c r="D490" s="2">
        <v>0.96</v>
      </c>
      <c r="E490" s="3">
        <v>2.0000000000000002E-43</v>
      </c>
      <c r="F490">
        <v>50.34</v>
      </c>
      <c r="G490" t="str">
        <f>HYPERLINK("https://www.ncbi.nlm.nih.gov/nucleotide/XM_031590225.1?report=genbank&amp;log$=nucltop&amp;blast_rank=78&amp;RID=29VWSWEC013","XM_031590225.1")</f>
        <v>XM_031590225.1</v>
      </c>
    </row>
    <row r="491" spans="1:7" x14ac:dyDescent="0.35">
      <c r="A491" s="4" t="s">
        <v>680</v>
      </c>
      <c r="B491" s="4">
        <v>152</v>
      </c>
      <c r="C491" s="4">
        <v>152</v>
      </c>
      <c r="D491" s="5">
        <v>0.96</v>
      </c>
      <c r="E491" s="6">
        <v>2.0000000000000002E-43</v>
      </c>
      <c r="F491" s="4">
        <v>50.34</v>
      </c>
      <c r="G491" s="4" t="str">
        <f>HYPERLINK("https://www.ncbi.nlm.nih.gov/nucleotide/NM_001078672.1?report=genbank&amp;log$=nucltop&amp;blast_rank=79&amp;RID=29VWSWEC013","NM_001078672.1")</f>
        <v>NM_001078672.1</v>
      </c>
    </row>
    <row r="492" spans="1:7" x14ac:dyDescent="0.35">
      <c r="A492" t="s">
        <v>683</v>
      </c>
      <c r="B492">
        <v>152</v>
      </c>
      <c r="C492">
        <v>152</v>
      </c>
      <c r="D492" s="2">
        <v>0.96</v>
      </c>
      <c r="E492" s="3">
        <v>2.0000000000000002E-43</v>
      </c>
      <c r="F492">
        <v>50.34</v>
      </c>
      <c r="G492" t="str">
        <f>HYPERLINK("https://www.ncbi.nlm.nih.gov/nucleotide/XM_030887671.1?report=genbank&amp;log$=nucltop&amp;blast_rank=80&amp;RID=29VWSWEC013","XM_030887671.1")</f>
        <v>XM_030887671.1</v>
      </c>
    </row>
    <row r="493" spans="1:7" x14ac:dyDescent="0.35">
      <c r="A493" t="s">
        <v>684</v>
      </c>
      <c r="B493">
        <v>151</v>
      </c>
      <c r="C493">
        <v>151</v>
      </c>
      <c r="D493" s="2">
        <v>0.96</v>
      </c>
      <c r="E493" s="3">
        <v>3E-43</v>
      </c>
      <c r="F493">
        <v>50.34</v>
      </c>
      <c r="G493" t="str">
        <f>HYPERLINK("https://www.ncbi.nlm.nih.gov/nucleotide/XM_009638632.2?report=genbank&amp;log$=nucltop&amp;blast_rank=81&amp;RID=29VWSWEC013","XM_009638632.2")</f>
        <v>XM_009638632.2</v>
      </c>
    </row>
    <row r="494" spans="1:7" x14ac:dyDescent="0.35">
      <c r="A494" t="s">
        <v>689</v>
      </c>
      <c r="B494">
        <v>151</v>
      </c>
      <c r="C494">
        <v>151</v>
      </c>
      <c r="D494" s="2">
        <v>0.96</v>
      </c>
      <c r="E494" s="3">
        <v>3E-43</v>
      </c>
      <c r="F494">
        <v>50.34</v>
      </c>
      <c r="G494" t="str">
        <f>HYPERLINK("https://www.ncbi.nlm.nih.gov/nucleotide/XM_006883343.1?report=genbank&amp;log$=nucltop&amp;blast_rank=82&amp;RID=29VWSWEC013","XM_006883343.1")</f>
        <v>XM_006883343.1</v>
      </c>
    </row>
    <row r="495" spans="1:7" x14ac:dyDescent="0.35">
      <c r="A495" t="s">
        <v>698</v>
      </c>
      <c r="B495">
        <v>153</v>
      </c>
      <c r="C495">
        <v>153</v>
      </c>
      <c r="D495" s="2">
        <v>0.96</v>
      </c>
      <c r="E495" s="3">
        <v>3E-43</v>
      </c>
      <c r="F495">
        <v>50.34</v>
      </c>
      <c r="G495" t="str">
        <f>HYPERLINK("https://www.ncbi.nlm.nih.gov/nucleotide/KJ893054.1?report=genbank&amp;log$=nucltop&amp;blast_rank=83&amp;RID=29VWSWEC013","KJ893054.1")</f>
        <v>KJ893054.1</v>
      </c>
    </row>
    <row r="496" spans="1:7" x14ac:dyDescent="0.35">
      <c r="A496" t="s">
        <v>685</v>
      </c>
      <c r="B496">
        <v>152</v>
      </c>
      <c r="C496">
        <v>152</v>
      </c>
      <c r="D496" s="2">
        <v>0.96</v>
      </c>
      <c r="E496" s="3">
        <v>3E-43</v>
      </c>
      <c r="F496">
        <v>50.34</v>
      </c>
      <c r="G496" t="str">
        <f>HYPERLINK("https://www.ncbi.nlm.nih.gov/nucleotide/XM_025912909.1?report=genbank&amp;log$=nucltop&amp;blast_rank=84&amp;RID=29VWSWEC013","XM_025912909.1")</f>
        <v>XM_025912909.1</v>
      </c>
    </row>
    <row r="497" spans="1:7" x14ac:dyDescent="0.35">
      <c r="A497" t="s">
        <v>691</v>
      </c>
      <c r="B497">
        <v>151</v>
      </c>
      <c r="C497">
        <v>151</v>
      </c>
      <c r="D497" s="2">
        <v>0.96</v>
      </c>
      <c r="E497" s="3">
        <v>3E-43</v>
      </c>
      <c r="F497">
        <v>50.34</v>
      </c>
      <c r="G497" t="str">
        <f>HYPERLINK("https://www.ncbi.nlm.nih.gov/nucleotide/XM_025913246.1?report=genbank&amp;log$=nucltop&amp;blast_rank=85&amp;RID=29VWSWEC013","XM_025913246.1")</f>
        <v>XM_025913246.1</v>
      </c>
    </row>
    <row r="498" spans="1:7" x14ac:dyDescent="0.35">
      <c r="A498" s="4" t="s">
        <v>692</v>
      </c>
      <c r="B498" s="4">
        <v>151</v>
      </c>
      <c r="C498" s="4">
        <v>151</v>
      </c>
      <c r="D498" s="5">
        <v>0.96</v>
      </c>
      <c r="E498" s="6">
        <v>3E-43</v>
      </c>
      <c r="F498" s="4">
        <v>50.34</v>
      </c>
      <c r="G498" s="4" t="str">
        <f>HYPERLINK("https://www.ncbi.nlm.nih.gov/nucleotide/X92963.1?report=genbank&amp;log$=nucltop&amp;blast_rank=86&amp;RID=29VWSWEC013","X92963.1")</f>
        <v>X92963.1</v>
      </c>
    </row>
    <row r="499" spans="1:7" x14ac:dyDescent="0.35">
      <c r="A499" t="s">
        <v>693</v>
      </c>
      <c r="B499">
        <v>153</v>
      </c>
      <c r="C499">
        <v>153</v>
      </c>
      <c r="D499" s="2">
        <v>0.96</v>
      </c>
      <c r="E499" s="3">
        <v>3E-43</v>
      </c>
      <c r="F499">
        <v>50.34</v>
      </c>
      <c r="G499" t="str">
        <f>HYPERLINK("https://www.ncbi.nlm.nih.gov/nucleotide/BC169533.1?report=genbank&amp;log$=nucltop&amp;blast_rank=87&amp;RID=29VWSWEC013","BC169533.1")</f>
        <v>BC169533.1</v>
      </c>
    </row>
    <row r="500" spans="1:7" x14ac:dyDescent="0.35">
      <c r="A500" s="4" t="s">
        <v>690</v>
      </c>
      <c r="B500" s="4">
        <v>153</v>
      </c>
      <c r="C500" s="4">
        <v>153</v>
      </c>
      <c r="D500" s="5">
        <v>0.96</v>
      </c>
      <c r="E500" s="6">
        <v>3E-43</v>
      </c>
      <c r="F500" s="4">
        <v>50.34</v>
      </c>
      <c r="G500" s="4" t="str">
        <f>HYPERLINK("https://www.ncbi.nlm.nih.gov/nucleotide/BC169529.1?report=genbank&amp;log$=nucltop&amp;blast_rank=88&amp;RID=29VWSWEC013","BC169529.1")</f>
        <v>BC169529.1</v>
      </c>
    </row>
    <row r="501" spans="1:7" x14ac:dyDescent="0.35">
      <c r="A501" t="s">
        <v>710</v>
      </c>
      <c r="B501">
        <v>151</v>
      </c>
      <c r="C501">
        <v>151</v>
      </c>
      <c r="D501" s="2">
        <v>0.96</v>
      </c>
      <c r="E501" s="3">
        <v>5.0000000000000002E-43</v>
      </c>
      <c r="F501">
        <v>50.34</v>
      </c>
      <c r="G501" t="str">
        <f>HYPERLINK("https://www.ncbi.nlm.nih.gov/nucleotide/XM_038740798.1?report=genbank&amp;log$=nucltop&amp;blast_rank=89&amp;RID=29VWSWEC013","XM_038740798.1")</f>
        <v>XM_038740798.1</v>
      </c>
    </row>
    <row r="502" spans="1:7" x14ac:dyDescent="0.35">
      <c r="A502" t="s">
        <v>717</v>
      </c>
      <c r="B502">
        <v>153</v>
      </c>
      <c r="C502">
        <v>153</v>
      </c>
      <c r="D502" s="2">
        <v>0.96</v>
      </c>
      <c r="E502" s="3">
        <v>5.0000000000000002E-43</v>
      </c>
      <c r="F502">
        <v>50.34</v>
      </c>
      <c r="G502" t="str">
        <f>HYPERLINK("https://www.ncbi.nlm.nih.gov/nucleotide/XM_036545364.1?report=genbank&amp;log$=nucltop&amp;blast_rank=90&amp;RID=29VWSWEC013","XM_036545364.1")</f>
        <v>XM_036545364.1</v>
      </c>
    </row>
    <row r="503" spans="1:7" x14ac:dyDescent="0.35">
      <c r="A503" t="s">
        <v>725</v>
      </c>
      <c r="B503">
        <v>152</v>
      </c>
      <c r="C503">
        <v>152</v>
      </c>
      <c r="D503" s="2">
        <v>0.96</v>
      </c>
      <c r="E503" s="3">
        <v>5.0000000000000002E-43</v>
      </c>
      <c r="F503">
        <v>50.34</v>
      </c>
      <c r="G503" t="str">
        <f>HYPERLINK("https://www.ncbi.nlm.nih.gov/nucleotide/KJ892343.1?report=genbank&amp;log$=nucltop&amp;blast_rank=91&amp;RID=29VWSWEC013","KJ892343.1")</f>
        <v>KJ892343.1</v>
      </c>
    </row>
    <row r="504" spans="1:7" x14ac:dyDescent="0.35">
      <c r="A504" t="s">
        <v>713</v>
      </c>
      <c r="B504">
        <v>151</v>
      </c>
      <c r="C504">
        <v>151</v>
      </c>
      <c r="D504" s="2">
        <v>0.96</v>
      </c>
      <c r="E504" s="3">
        <v>5.0000000000000002E-43</v>
      </c>
      <c r="F504">
        <v>50.34</v>
      </c>
      <c r="G504" t="str">
        <f>HYPERLINK("https://www.ncbi.nlm.nih.gov/nucleotide/XM_031590224.1?report=genbank&amp;log$=nucltop&amp;blast_rank=92&amp;RID=29VWSWEC013","XM_031590224.1")</f>
        <v>XM_031590224.1</v>
      </c>
    </row>
    <row r="505" spans="1:7" x14ac:dyDescent="0.35">
      <c r="A505" s="4" t="s">
        <v>1352</v>
      </c>
      <c r="B505" s="4">
        <v>149</v>
      </c>
      <c r="C505" s="4">
        <v>149</v>
      </c>
      <c r="D505" s="5">
        <v>0.97</v>
      </c>
      <c r="E505" s="6">
        <v>4.0000000000000003E-43</v>
      </c>
      <c r="F505" s="4">
        <v>50</v>
      </c>
      <c r="G505" s="4" t="str">
        <f>HYPERLINK("https://www.ncbi.nlm.nih.gov/nucleotide/XM_021482743.1?report=genbank&amp;log$=nucltop&amp;blast_rank=93&amp;RID=29VWSWEC013","XM_021482743.1")</f>
        <v>XM_021482743.1</v>
      </c>
    </row>
    <row r="506" spans="1:7" x14ac:dyDescent="0.35">
      <c r="A506" t="s">
        <v>1353</v>
      </c>
      <c r="B506">
        <v>152</v>
      </c>
      <c r="C506">
        <v>152</v>
      </c>
      <c r="D506" s="2">
        <v>0.99</v>
      </c>
      <c r="E506" s="3">
        <v>5.0000000000000002E-43</v>
      </c>
      <c r="F506">
        <v>49.66</v>
      </c>
      <c r="G506" t="str">
        <f>HYPERLINK("https://www.ncbi.nlm.nih.gov/nucleotide/XM_005040922.1?report=genbank&amp;log$=nucltop&amp;blast_rank=94&amp;RID=29VWSWEC013","XM_005040922.1")</f>
        <v>XM_005040922.1</v>
      </c>
    </row>
    <row r="507" spans="1:7" x14ac:dyDescent="0.35">
      <c r="A507" t="s">
        <v>719</v>
      </c>
      <c r="B507">
        <v>151</v>
      </c>
      <c r="C507">
        <v>151</v>
      </c>
      <c r="D507" s="2">
        <v>0.96</v>
      </c>
      <c r="E507" s="3">
        <v>5.0000000000000002E-43</v>
      </c>
      <c r="F507">
        <v>49.66</v>
      </c>
      <c r="G507" t="str">
        <f>HYPERLINK("https://www.ncbi.nlm.nih.gov/nucleotide/AY610396.1?report=genbank&amp;log$=nucltop&amp;blast_rank=95&amp;RID=29VWSWEC013","AY610396.1")</f>
        <v>AY610396.1</v>
      </c>
    </row>
    <row r="508" spans="1:7" x14ac:dyDescent="0.35">
      <c r="A508" s="4" t="s">
        <v>1354</v>
      </c>
      <c r="B508" s="4">
        <v>152</v>
      </c>
      <c r="C508" s="4">
        <v>152</v>
      </c>
      <c r="D508" s="5">
        <v>0.98</v>
      </c>
      <c r="E508" s="6">
        <v>5.0000000000000004E-44</v>
      </c>
      <c r="F508" s="4">
        <v>49.32</v>
      </c>
      <c r="G508" s="4" t="str">
        <f>HYPERLINK("https://www.ncbi.nlm.nih.gov/nucleotide/XM_004184552.1?report=genbank&amp;log$=nucltop&amp;blast_rank=96&amp;RID=29VWSWEC013","XM_004184552.1")</f>
        <v>XM_004184552.1</v>
      </c>
    </row>
    <row r="509" spans="1:7" x14ac:dyDescent="0.35">
      <c r="A509" s="4" t="s">
        <v>1355</v>
      </c>
      <c r="B509" s="4">
        <v>149</v>
      </c>
      <c r="C509" s="4">
        <v>149</v>
      </c>
      <c r="D509" s="5">
        <v>0.98</v>
      </c>
      <c r="E509" s="6">
        <v>4.0000000000000003E-43</v>
      </c>
      <c r="F509" s="4">
        <v>48.65</v>
      </c>
      <c r="G509" s="4" t="str">
        <f>HYPERLINK("https://www.ncbi.nlm.nih.gov/nucleotide/XM_008858176.1?report=genbank&amp;log$=nucltop&amp;blast_rank=97&amp;RID=29VWSWEC013","XM_008858176.1")</f>
        <v>XM_008858176.1</v>
      </c>
    </row>
    <row r="510" spans="1:7" x14ac:dyDescent="0.35">
      <c r="A510" s="4" t="s">
        <v>1356</v>
      </c>
      <c r="B510" s="4">
        <v>149</v>
      </c>
      <c r="C510" s="4">
        <v>149</v>
      </c>
      <c r="D510" s="5">
        <v>0.98</v>
      </c>
      <c r="E510" s="6">
        <v>4.0000000000000003E-43</v>
      </c>
      <c r="F510" s="4">
        <v>48.65</v>
      </c>
      <c r="G510" s="4" t="str">
        <f>HYPERLINK("https://www.ncbi.nlm.nih.gov/nucleotide/XM_001741972.1?report=genbank&amp;log$=nucltop&amp;blast_rank=98&amp;RID=29VWSWEC013","XM_001741972.1")</f>
        <v>XM_001741972.1</v>
      </c>
    </row>
    <row r="511" spans="1:7" x14ac:dyDescent="0.35">
      <c r="A511" s="4" t="s">
        <v>1357</v>
      </c>
      <c r="B511" s="4">
        <v>149</v>
      </c>
      <c r="C511" s="4">
        <v>149</v>
      </c>
      <c r="D511" s="5">
        <v>0.98</v>
      </c>
      <c r="E511" s="6">
        <v>4.0000000000000003E-43</v>
      </c>
      <c r="F511" s="4">
        <v>48.65</v>
      </c>
      <c r="G511" s="4" t="str">
        <f>HYPERLINK("https://www.ncbi.nlm.nih.gov/nucleotide/XM_647599.1?report=genbank&amp;log$=nucltop&amp;blast_rank=99&amp;RID=29VWSWEC013","XM_647599.1")</f>
        <v>XM_647599.1</v>
      </c>
    </row>
    <row r="512" spans="1:7" x14ac:dyDescent="0.35">
      <c r="A512" t="s">
        <v>1358</v>
      </c>
      <c r="B512">
        <v>149</v>
      </c>
      <c r="C512">
        <v>149</v>
      </c>
      <c r="D512" s="2">
        <v>0.97</v>
      </c>
      <c r="E512" s="3">
        <v>5.0000000000000002E-43</v>
      </c>
      <c r="F512">
        <v>48.3</v>
      </c>
      <c r="G512" t="str">
        <f>HYPERLINK("https://www.ncbi.nlm.nih.gov/nucleotide/XM_037430931.1?report=genbank&amp;log$=nucltop&amp;blast_rank=100&amp;RID=29VWSWEC013","XM_037430931.1")</f>
        <v>XM_037430931.1</v>
      </c>
    </row>
    <row r="513" spans="1:7" x14ac:dyDescent="0.35">
      <c r="A513" s="1" t="s">
        <v>1392</v>
      </c>
    </row>
    <row r="514" spans="1:7" x14ac:dyDescent="0.35">
      <c r="A514" s="1" t="s">
        <v>2</v>
      </c>
      <c r="B514" s="1" t="s">
        <v>3</v>
      </c>
      <c r="C514" s="1" t="s">
        <v>4</v>
      </c>
      <c r="D514" s="1" t="s">
        <v>5</v>
      </c>
      <c r="E514" s="1" t="s">
        <v>6</v>
      </c>
      <c r="F514" s="1" t="s">
        <v>7</v>
      </c>
      <c r="G514" s="1" t="s">
        <v>8</v>
      </c>
    </row>
    <row r="515" spans="1:7" x14ac:dyDescent="0.35">
      <c r="A515" t="s">
        <v>602</v>
      </c>
      <c r="B515">
        <v>108</v>
      </c>
      <c r="C515">
        <v>213</v>
      </c>
      <c r="D515" s="2">
        <v>0.9</v>
      </c>
      <c r="E515" s="3">
        <v>7.0000000000000004E-46</v>
      </c>
      <c r="F515">
        <v>76.12</v>
      </c>
      <c r="G515" t="str">
        <f>HYPERLINK("https://www.ncbi.nlm.nih.gov/nucleotide/CP015475.1?report=genbank&amp;log$=nucltop&amp;blast_rank=1&amp;RID=29VYGZG1013","CP015475.1")</f>
        <v>CP015475.1</v>
      </c>
    </row>
    <row r="516" spans="1:7" x14ac:dyDescent="0.35">
      <c r="A516" s="4" t="s">
        <v>563</v>
      </c>
      <c r="B516" s="4">
        <v>260</v>
      </c>
      <c r="C516" s="4">
        <v>260</v>
      </c>
      <c r="D516" s="5">
        <v>0.9</v>
      </c>
      <c r="E516" s="6">
        <v>9.9999999999999996E-83</v>
      </c>
      <c r="F516" s="4">
        <v>71.84</v>
      </c>
      <c r="G516" s="4" t="str">
        <f>HYPERLINK("https://www.ncbi.nlm.nih.gov/nucleotide/XM_007382807.1?report=genbank&amp;log$=nucltop&amp;blast_rank=2&amp;RID=29VYGZG1013","XM_007382807.1")</f>
        <v>XM_007382807.1</v>
      </c>
    </row>
    <row r="517" spans="1:7" x14ac:dyDescent="0.35">
      <c r="A517" s="4" t="s">
        <v>565</v>
      </c>
      <c r="B517" s="4">
        <v>250</v>
      </c>
      <c r="C517" s="4">
        <v>250</v>
      </c>
      <c r="D517" s="5">
        <v>0.9</v>
      </c>
      <c r="E517" s="6">
        <v>9.9999999999999996E-81</v>
      </c>
      <c r="F517" s="4">
        <v>71.430000000000007</v>
      </c>
      <c r="G517" s="4" t="str">
        <f>HYPERLINK("https://www.ncbi.nlm.nih.gov/nucleotide/AB508815.1?report=genbank&amp;log$=nucltop&amp;blast_rank=3&amp;RID=29VYGZG1013","AB508815.1")</f>
        <v>AB508815.1</v>
      </c>
    </row>
    <row r="518" spans="1:7" x14ac:dyDescent="0.35">
      <c r="A518" s="4" t="s">
        <v>566</v>
      </c>
      <c r="B518" s="4">
        <v>250</v>
      </c>
      <c r="C518" s="4">
        <v>250</v>
      </c>
      <c r="D518" s="5">
        <v>0.9</v>
      </c>
      <c r="E518" s="6">
        <v>1.9999999999999999E-80</v>
      </c>
      <c r="F518" s="4">
        <v>71.430000000000007</v>
      </c>
      <c r="G518" s="4" t="str">
        <f>HYPERLINK("https://www.ncbi.nlm.nih.gov/nucleotide/MF872580.1?report=genbank&amp;log$=nucltop&amp;blast_rank=4&amp;RID=29VYGZG1013","MF872580.1")</f>
        <v>MF872580.1</v>
      </c>
    </row>
    <row r="519" spans="1:7" x14ac:dyDescent="0.35">
      <c r="A519" s="4" t="s">
        <v>567</v>
      </c>
      <c r="B519" s="4">
        <v>250</v>
      </c>
      <c r="C519" s="4">
        <v>250</v>
      </c>
      <c r="D519" s="5">
        <v>0.9</v>
      </c>
      <c r="E519" s="6">
        <v>1.9999999999999999E-80</v>
      </c>
      <c r="F519" s="4">
        <v>70.11</v>
      </c>
      <c r="G519" s="4" t="str">
        <f>HYPERLINK("https://www.ncbi.nlm.nih.gov/nucleotide/XM_007867111.1?report=genbank&amp;log$=nucltop&amp;blast_rank=5&amp;RID=29VYGZG1013","XM_007867111.1")</f>
        <v>XM_007867111.1</v>
      </c>
    </row>
    <row r="520" spans="1:7" x14ac:dyDescent="0.35">
      <c r="A520" s="4" t="s">
        <v>564</v>
      </c>
      <c r="B520" s="4">
        <v>249</v>
      </c>
      <c r="C520" s="4">
        <v>249</v>
      </c>
      <c r="D520" s="5">
        <v>0.9</v>
      </c>
      <c r="E520" s="6">
        <v>1.9999999999999999E-80</v>
      </c>
      <c r="F520" s="4">
        <v>69.14</v>
      </c>
      <c r="G520" s="4" t="str">
        <f>HYPERLINK("https://www.ncbi.nlm.nih.gov/nucleotide/AB378504.1?report=genbank&amp;log$=nucltop&amp;blast_rank=6&amp;RID=29VYGZG1013","AB378504.1")</f>
        <v>AB378504.1</v>
      </c>
    </row>
    <row r="521" spans="1:7" x14ac:dyDescent="0.35">
      <c r="A521" s="4" t="s">
        <v>573</v>
      </c>
      <c r="B521" s="4">
        <v>251</v>
      </c>
      <c r="C521" s="4">
        <v>251</v>
      </c>
      <c r="D521" s="5">
        <v>0.9</v>
      </c>
      <c r="E521" s="6">
        <v>4.9999999999999998E-82</v>
      </c>
      <c r="F521" s="4">
        <v>68.97</v>
      </c>
      <c r="G521" s="4" t="str">
        <f>HYPERLINK("https://www.ncbi.nlm.nih.gov/nucleotide/XM_007772338.1?report=genbank&amp;log$=nucltop&amp;blast_rank=7&amp;RID=29VYGZG1013","XM_007772338.1")</f>
        <v>XM_007772338.1</v>
      </c>
    </row>
    <row r="522" spans="1:7" x14ac:dyDescent="0.35">
      <c r="A522" s="4" t="s">
        <v>569</v>
      </c>
      <c r="B522" s="4">
        <v>240</v>
      </c>
      <c r="C522" s="4">
        <v>240</v>
      </c>
      <c r="D522" s="5">
        <v>0.9</v>
      </c>
      <c r="E522" s="6">
        <v>9.9999999999999993E-77</v>
      </c>
      <c r="F522" s="4">
        <v>67.61</v>
      </c>
      <c r="G522" s="4" t="str">
        <f>HYPERLINK("https://www.ncbi.nlm.nih.gov/nucleotide/XM_007304416.1?report=genbank&amp;log$=nucltop&amp;blast_rank=8&amp;RID=29VYGZG1013","XM_007304416.1")</f>
        <v>XM_007304416.1</v>
      </c>
    </row>
    <row r="523" spans="1:7" x14ac:dyDescent="0.35">
      <c r="A523" s="4" t="s">
        <v>568</v>
      </c>
      <c r="B523" s="4">
        <v>243</v>
      </c>
      <c r="C523" s="4">
        <v>243</v>
      </c>
      <c r="D523" s="5">
        <v>0.9</v>
      </c>
      <c r="E523" s="6">
        <v>2E-78</v>
      </c>
      <c r="F523" s="4">
        <v>67.430000000000007</v>
      </c>
      <c r="G523" s="4" t="str">
        <f>HYPERLINK("https://www.ncbi.nlm.nih.gov/nucleotide/XM_007396846.1?report=genbank&amp;log$=nucltop&amp;blast_rank=9&amp;RID=29VYGZG1013","XM_007396846.1")</f>
        <v>XM_007396846.1</v>
      </c>
    </row>
    <row r="524" spans="1:7" x14ac:dyDescent="0.35">
      <c r="A524" s="4" t="s">
        <v>570</v>
      </c>
      <c r="B524" s="4">
        <v>251</v>
      </c>
      <c r="C524" s="4">
        <v>251</v>
      </c>
      <c r="D524" s="5">
        <v>0.9</v>
      </c>
      <c r="E524" s="6">
        <v>1.9999999999999999E-81</v>
      </c>
      <c r="F524" s="4">
        <v>67.239999999999995</v>
      </c>
      <c r="G524" s="4" t="str">
        <f>HYPERLINK("https://www.ncbi.nlm.nih.gov/nucleotide/XM_007368135.1?report=genbank&amp;log$=nucltop&amp;blast_rank=10&amp;RID=29VYGZG1013","XM_007368135.1")</f>
        <v>XM_007368135.1</v>
      </c>
    </row>
    <row r="525" spans="1:7" x14ac:dyDescent="0.35">
      <c r="A525" s="4" t="s">
        <v>572</v>
      </c>
      <c r="B525" s="4">
        <v>244</v>
      </c>
      <c r="C525" s="4">
        <v>244</v>
      </c>
      <c r="D525" s="5">
        <v>0.9</v>
      </c>
      <c r="E525" s="6">
        <v>3E-79</v>
      </c>
      <c r="F525" s="4">
        <v>67.239999999999995</v>
      </c>
      <c r="G525" s="4" t="str">
        <f>HYPERLINK("https://www.ncbi.nlm.nih.gov/nucleotide/XM_007261273.1?report=genbank&amp;log$=nucltop&amp;blast_rank=11&amp;RID=29VYGZG1013","XM_007261273.1")</f>
        <v>XM_007261273.1</v>
      </c>
    </row>
    <row r="526" spans="1:7" x14ac:dyDescent="0.35">
      <c r="A526" s="4" t="s">
        <v>571</v>
      </c>
      <c r="B526" s="4">
        <v>244</v>
      </c>
      <c r="C526" s="4">
        <v>244</v>
      </c>
      <c r="D526" s="5">
        <v>0.9</v>
      </c>
      <c r="E526" s="6">
        <v>2E-78</v>
      </c>
      <c r="F526" s="4">
        <v>67.239999999999995</v>
      </c>
      <c r="G526" s="4" t="str">
        <f>HYPERLINK("https://www.ncbi.nlm.nih.gov/nucleotide/XM_008040541.1?report=genbank&amp;log$=nucltop&amp;blast_rank=12&amp;RID=29VYGZG1013","XM_008040541.1")</f>
        <v>XM_008040541.1</v>
      </c>
    </row>
    <row r="527" spans="1:7" x14ac:dyDescent="0.35">
      <c r="A527" s="4" t="s">
        <v>577</v>
      </c>
      <c r="B527" s="4">
        <v>187</v>
      </c>
      <c r="C527" s="4">
        <v>187</v>
      </c>
      <c r="D527" s="5">
        <v>0.75</v>
      </c>
      <c r="E527" s="6">
        <v>1E-56</v>
      </c>
      <c r="F527" s="4">
        <v>63.95</v>
      </c>
      <c r="G527" s="4" t="str">
        <f>HYPERLINK("https://www.ncbi.nlm.nih.gov/nucleotide/JF317687.1?report=genbank&amp;log$=nucltop&amp;blast_rank=13&amp;RID=29VYGZG1013","JF317687.1")</f>
        <v>JF317687.1</v>
      </c>
    </row>
    <row r="528" spans="1:7" x14ac:dyDescent="0.35">
      <c r="A528" s="4" t="s">
        <v>575</v>
      </c>
      <c r="B528" s="4">
        <v>225</v>
      </c>
      <c r="C528" s="4">
        <v>225</v>
      </c>
      <c r="D528" s="5">
        <v>0.9</v>
      </c>
      <c r="E528" s="6">
        <v>3.0000000000000001E-70</v>
      </c>
      <c r="F528" s="4">
        <v>61.54</v>
      </c>
      <c r="G528" s="4" t="str">
        <f>HYPERLINK("https://www.ncbi.nlm.nih.gov/nucleotide/XM_037360141.1?report=genbank&amp;log$=nucltop&amp;blast_rank=14&amp;RID=29VYGZG1013","XM_037360141.1")</f>
        <v>XM_037360141.1</v>
      </c>
    </row>
    <row r="529" spans="1:7" x14ac:dyDescent="0.35">
      <c r="A529" s="4" t="s">
        <v>576</v>
      </c>
      <c r="B529" s="4">
        <v>177</v>
      </c>
      <c r="C529" s="4">
        <v>229</v>
      </c>
      <c r="D529" s="5">
        <v>0.96</v>
      </c>
      <c r="E529" s="6">
        <v>1E-52</v>
      </c>
      <c r="F529" s="4">
        <v>60.87</v>
      </c>
      <c r="G529" s="4" t="str">
        <f>HYPERLINK("https://www.ncbi.nlm.nih.gov/nucleotide/XM_009550995.1?report=genbank&amp;log$=nucltop&amp;blast_rank=15&amp;RID=29VYGZG1013","XM_009550995.1")</f>
        <v>XM_009550995.1</v>
      </c>
    </row>
    <row r="530" spans="1:7" x14ac:dyDescent="0.35">
      <c r="A530" t="s">
        <v>579</v>
      </c>
      <c r="B530">
        <v>194</v>
      </c>
      <c r="C530">
        <v>194</v>
      </c>
      <c r="D530" s="2">
        <v>0.9</v>
      </c>
      <c r="E530" s="3">
        <v>1E-59</v>
      </c>
      <c r="F530">
        <v>57.47</v>
      </c>
      <c r="G530" t="str">
        <f>HYPERLINK("https://www.ncbi.nlm.nih.gov/nucleotide/XM_006461891.1?report=genbank&amp;log$=nucltop&amp;blast_rank=16&amp;RID=29VYGZG1013","XM_006461891.1")</f>
        <v>XM_006461891.1</v>
      </c>
    </row>
    <row r="531" spans="1:7" x14ac:dyDescent="0.35">
      <c r="A531" t="s">
        <v>580</v>
      </c>
      <c r="B531">
        <v>194</v>
      </c>
      <c r="C531">
        <v>194</v>
      </c>
      <c r="D531" s="2">
        <v>0.9</v>
      </c>
      <c r="E531" s="3">
        <v>1E-59</v>
      </c>
      <c r="F531">
        <v>57.47</v>
      </c>
      <c r="G531" t="str">
        <f>HYPERLINK("https://www.ncbi.nlm.nih.gov/nucleotide/XM_007327576.1?report=genbank&amp;log$=nucltop&amp;blast_rank=17&amp;RID=29VYGZG1013","XM_007327576.1")</f>
        <v>XM_007327576.1</v>
      </c>
    </row>
    <row r="532" spans="1:7" x14ac:dyDescent="0.35">
      <c r="A532" t="s">
        <v>37</v>
      </c>
      <c r="B532">
        <v>137</v>
      </c>
      <c r="C532">
        <v>208</v>
      </c>
      <c r="D532" s="2">
        <v>1</v>
      </c>
      <c r="E532" s="3">
        <v>3.0000000000000002E-44</v>
      </c>
      <c r="F532">
        <v>51.97</v>
      </c>
      <c r="G532" t="str">
        <f>HYPERLINK("https://www.ncbi.nlm.nih.gov/nucleotide/LR732085.1?report=genbank&amp;log$=nucltop&amp;blast_rank=18&amp;RID=29VYGZG1013","LR732085.1")</f>
        <v>LR732085.1</v>
      </c>
    </row>
    <row r="533" spans="1:7" x14ac:dyDescent="0.35">
      <c r="A533" t="s">
        <v>597</v>
      </c>
      <c r="B533">
        <v>155</v>
      </c>
      <c r="C533">
        <v>194</v>
      </c>
      <c r="D533" s="2">
        <v>0.89</v>
      </c>
      <c r="E533" s="3">
        <v>4.9999999999999996E-40</v>
      </c>
      <c r="F533">
        <v>49.19</v>
      </c>
      <c r="G533" t="str">
        <f>HYPERLINK("https://www.ncbi.nlm.nih.gov/nucleotide/CP068000.1?report=genbank&amp;log$=nucltop&amp;blast_rank=19&amp;RID=29VYGZG1013","CP068000.1")</f>
        <v>CP068000.1</v>
      </c>
    </row>
    <row r="534" spans="1:7" x14ac:dyDescent="0.35">
      <c r="A534" t="s">
        <v>593</v>
      </c>
      <c r="B534">
        <v>53.9</v>
      </c>
      <c r="C534">
        <v>53.9</v>
      </c>
      <c r="D534" s="2">
        <v>0.31</v>
      </c>
      <c r="E534" s="3">
        <v>1E-4</v>
      </c>
      <c r="F534">
        <v>47.62</v>
      </c>
      <c r="G534" t="str">
        <f>HYPERLINK("https://www.ncbi.nlm.nih.gov/nucleotide/CP064903.1?report=genbank&amp;log$=nucltop&amp;blast_rank=20&amp;RID=29VYGZG1013","CP064903.1")</f>
        <v>CP064903.1</v>
      </c>
    </row>
    <row r="535" spans="1:7" x14ac:dyDescent="0.35">
      <c r="A535" t="s">
        <v>595</v>
      </c>
      <c r="B535">
        <v>207</v>
      </c>
      <c r="C535">
        <v>207</v>
      </c>
      <c r="D535" s="2">
        <v>1</v>
      </c>
      <c r="E535" s="3">
        <v>6.9999999999999998E-58</v>
      </c>
      <c r="F535">
        <v>46.84</v>
      </c>
      <c r="G535" t="str">
        <f>HYPERLINK("https://www.ncbi.nlm.nih.gov/nucleotide/LR732076.1?report=genbank&amp;log$=nucltop&amp;blast_rank=21&amp;RID=29VYGZG1013","LR732076.1")</f>
        <v>LR732076.1</v>
      </c>
    </row>
    <row r="536" spans="1:7" x14ac:dyDescent="0.35">
      <c r="A536" t="s">
        <v>599</v>
      </c>
      <c r="B536">
        <v>174</v>
      </c>
      <c r="C536">
        <v>174</v>
      </c>
      <c r="D536" s="2">
        <v>0.9</v>
      </c>
      <c r="E536" s="3">
        <v>1E-46</v>
      </c>
      <c r="F536">
        <v>46.46</v>
      </c>
      <c r="G536" t="str">
        <f>HYPERLINK("https://www.ncbi.nlm.nih.gov/nucleotide/CP015462.1?report=genbank&amp;log$=nucltop&amp;blast_rank=22&amp;RID=29VYGZG1013","CP015462.1")</f>
        <v>CP015462.1</v>
      </c>
    </row>
    <row r="537" spans="1:7" x14ac:dyDescent="0.35">
      <c r="A537" t="s">
        <v>600</v>
      </c>
      <c r="B537">
        <v>174</v>
      </c>
      <c r="C537">
        <v>174</v>
      </c>
      <c r="D537" s="2">
        <v>0.9</v>
      </c>
      <c r="E537" s="3">
        <v>1E-46</v>
      </c>
      <c r="F537">
        <v>46.46</v>
      </c>
      <c r="G537" t="str">
        <f>HYPERLINK("https://www.ncbi.nlm.nih.gov/nucleotide/CP039878.1?report=genbank&amp;log$=nucltop&amp;blast_rank=23&amp;RID=29VYGZG1013","CP039878.1")</f>
        <v>CP039878.1</v>
      </c>
    </row>
    <row r="538" spans="1:7" x14ac:dyDescent="0.35">
      <c r="A538" t="s">
        <v>610</v>
      </c>
      <c r="B538">
        <v>159</v>
      </c>
      <c r="C538">
        <v>159</v>
      </c>
      <c r="D538" s="2">
        <v>0.82</v>
      </c>
      <c r="E538" s="3">
        <v>4.9999999999999996E-41</v>
      </c>
      <c r="F538">
        <v>43</v>
      </c>
      <c r="G538" t="str">
        <f>HYPERLINK("https://www.ncbi.nlm.nih.gov/nucleotide/CP019381.1?report=genbank&amp;log$=nucltop&amp;blast_rank=24&amp;RID=29VYGZG1013","CP019381.1")</f>
        <v>CP019381.1</v>
      </c>
    </row>
    <row r="539" spans="1:7" x14ac:dyDescent="0.35">
      <c r="A539" s="4" t="s">
        <v>578</v>
      </c>
      <c r="B539" s="4">
        <v>55.8</v>
      </c>
      <c r="C539" s="4">
        <v>55.8</v>
      </c>
      <c r="D539" s="5">
        <v>0.42</v>
      </c>
      <c r="E539" s="6">
        <v>1.0000000000000001E-5</v>
      </c>
      <c r="F539" s="4">
        <v>42.35</v>
      </c>
      <c r="G539" s="4" t="str">
        <f>HYPERLINK("https://www.ncbi.nlm.nih.gov/nucleotide/XM_024830164.1?report=genbank&amp;log$=nucltop&amp;blast_rank=25&amp;RID=29VYGZG1013","XM_024830164.1")</f>
        <v>XM_024830164.1</v>
      </c>
    </row>
    <row r="540" spans="1:7" x14ac:dyDescent="0.35">
      <c r="A540" s="4" t="s">
        <v>872</v>
      </c>
      <c r="B540" s="4">
        <v>54.7</v>
      </c>
      <c r="C540" s="4">
        <v>54.7</v>
      </c>
      <c r="D540" s="5">
        <v>0.45</v>
      </c>
      <c r="E540" s="6">
        <v>5.0000000000000002E-5</v>
      </c>
      <c r="F540" s="4">
        <v>42.22</v>
      </c>
      <c r="G540" s="4" t="str">
        <f>HYPERLINK("https://www.ncbi.nlm.nih.gov/nucleotide/XM_039056015.1?report=genbank&amp;log$=nucltop&amp;blast_rank=26&amp;RID=29VYGZG1013","XM_039056015.1")</f>
        <v>XM_039056015.1</v>
      </c>
    </row>
    <row r="541" spans="1:7" x14ac:dyDescent="0.35">
      <c r="A541" s="4" t="s">
        <v>582</v>
      </c>
      <c r="B541" s="4">
        <v>55.8</v>
      </c>
      <c r="C541" s="4">
        <v>55.8</v>
      </c>
      <c r="D541" s="5">
        <v>0.42</v>
      </c>
      <c r="E541" s="6">
        <v>1.0000000000000001E-5</v>
      </c>
      <c r="F541" s="4">
        <v>41.18</v>
      </c>
      <c r="G541" s="4" t="str">
        <f>HYPERLINK("https://www.ncbi.nlm.nih.gov/nucleotide/XM_026755757.1?report=genbank&amp;log$=nucltop&amp;blast_rank=27&amp;RID=29VYGZG1013","XM_026755757.1")</f>
        <v>XM_026755757.1</v>
      </c>
    </row>
    <row r="542" spans="1:7" x14ac:dyDescent="0.35">
      <c r="A542" t="s">
        <v>587</v>
      </c>
      <c r="B542">
        <v>55.1</v>
      </c>
      <c r="C542">
        <v>55.1</v>
      </c>
      <c r="D542" s="2">
        <v>0.42</v>
      </c>
      <c r="E542" s="3">
        <v>5.0000000000000002E-5</v>
      </c>
      <c r="F542">
        <v>41.18</v>
      </c>
      <c r="G542" t="str">
        <f>HYPERLINK("https://www.ncbi.nlm.nih.gov/nucleotide/CP066510.1?report=genbank&amp;log$=nucltop&amp;blast_rank=28&amp;RID=29VYGZG1013","CP066510.1")</f>
        <v>CP066510.1</v>
      </c>
    </row>
    <row r="543" spans="1:7" x14ac:dyDescent="0.35">
      <c r="A543" t="s">
        <v>870</v>
      </c>
      <c r="B543">
        <v>52.8</v>
      </c>
      <c r="C543">
        <v>52.8</v>
      </c>
      <c r="D543" s="2">
        <v>0.42</v>
      </c>
      <c r="E543" s="3">
        <v>9.0000000000000006E-5</v>
      </c>
      <c r="F543">
        <v>41.18</v>
      </c>
      <c r="G543" t="str">
        <f>HYPERLINK("https://www.ncbi.nlm.nih.gov/nucleotide/XM_024549805.1?report=genbank&amp;log$=nucltop&amp;blast_rank=29&amp;RID=29VYGZG1013","XM_024549805.1")</f>
        <v>XM_024549805.1</v>
      </c>
    </row>
    <row r="544" spans="1:7" x14ac:dyDescent="0.35">
      <c r="A544" s="4" t="s">
        <v>875</v>
      </c>
      <c r="B544" s="4">
        <v>53.5</v>
      </c>
      <c r="C544" s="4">
        <v>53.5</v>
      </c>
      <c r="D544" s="5">
        <v>0.42</v>
      </c>
      <c r="E544" s="6">
        <v>1E-4</v>
      </c>
      <c r="F544" s="4">
        <v>41.18</v>
      </c>
      <c r="G544" s="4" t="str">
        <f>HYPERLINK("https://www.ncbi.nlm.nih.gov/nucleotide/XM_014093435.1?report=genbank&amp;log$=nucltop&amp;blast_rank=30&amp;RID=29VYGZG1013","XM_014093435.1")</f>
        <v>XM_014093435.1</v>
      </c>
    </row>
    <row r="545" spans="1:7" x14ac:dyDescent="0.35">
      <c r="A545" t="s">
        <v>594</v>
      </c>
      <c r="B545">
        <v>56.6</v>
      </c>
      <c r="C545">
        <v>56.6</v>
      </c>
      <c r="D545" s="2">
        <v>0.44</v>
      </c>
      <c r="E545" s="3">
        <v>1.9999999999999999E-6</v>
      </c>
      <c r="F545">
        <v>40.450000000000003</v>
      </c>
      <c r="G545" t="str">
        <f>HYPERLINK("https://www.ncbi.nlm.nih.gov/nucleotide/XM_032047508.1?report=genbank&amp;log$=nucltop&amp;blast_rank=31&amp;RID=29VYGZG1013","XM_032047508.1")</f>
        <v>XM_032047508.1</v>
      </c>
    </row>
    <row r="546" spans="1:7" x14ac:dyDescent="0.35">
      <c r="A546" s="4" t="s">
        <v>613</v>
      </c>
      <c r="B546" s="4">
        <v>53.9</v>
      </c>
      <c r="C546" s="4">
        <v>53.9</v>
      </c>
      <c r="D546" s="5">
        <v>0.44</v>
      </c>
      <c r="E546" s="6">
        <v>5.0000000000000002E-5</v>
      </c>
      <c r="F546" s="4">
        <v>40.450000000000003</v>
      </c>
      <c r="G546" s="4" t="str">
        <f>HYPERLINK("https://www.ncbi.nlm.nih.gov/nucleotide/XM_014097368.1?report=genbank&amp;log$=nucltop&amp;blast_rank=32&amp;RID=29VYGZG1013","XM_014097368.1")</f>
        <v>XM_014097368.1</v>
      </c>
    </row>
    <row r="547" spans="1:7" x14ac:dyDescent="0.35">
      <c r="A547" t="s">
        <v>601</v>
      </c>
      <c r="B547">
        <v>61.2</v>
      </c>
      <c r="C547">
        <v>61.2</v>
      </c>
      <c r="D547" s="2">
        <v>0.46</v>
      </c>
      <c r="E547" s="3">
        <v>1.9999999999999999E-7</v>
      </c>
      <c r="F547">
        <v>40.22</v>
      </c>
      <c r="G547" t="str">
        <f>HYPERLINK("https://www.ncbi.nlm.nih.gov/nucleotide/XM_013525843.1?report=genbank&amp;log$=nucltop&amp;blast_rank=33&amp;RID=29VYGZG1013","XM_013525843.1")</f>
        <v>XM_013525843.1</v>
      </c>
    </row>
    <row r="548" spans="1:7" x14ac:dyDescent="0.35">
      <c r="A548" s="4" t="s">
        <v>609</v>
      </c>
      <c r="B548" s="4">
        <v>95.1</v>
      </c>
      <c r="C548" s="4">
        <v>204</v>
      </c>
      <c r="D548" s="5">
        <v>0.89</v>
      </c>
      <c r="E548" s="6">
        <v>9.9999999999999998E-20</v>
      </c>
      <c r="F548" s="4">
        <v>40</v>
      </c>
      <c r="G548" s="4" t="str">
        <f>HYPERLINK("https://www.ncbi.nlm.nih.gov/nucleotide/AB508816.1?report=genbank&amp;log$=nucltop&amp;blast_rank=34&amp;RID=29VYGZG1013","AB508816.1")</f>
        <v>AB508816.1</v>
      </c>
    </row>
    <row r="549" spans="1:7" x14ac:dyDescent="0.35">
      <c r="A549" s="4" t="s">
        <v>588</v>
      </c>
      <c r="B549" s="4">
        <v>53.9</v>
      </c>
      <c r="C549" s="4">
        <v>53.9</v>
      </c>
      <c r="D549" s="5">
        <v>0.42</v>
      </c>
      <c r="E549" s="6">
        <v>8.0000000000000007E-5</v>
      </c>
      <c r="F549" s="4">
        <v>40</v>
      </c>
      <c r="G549" s="4" t="str">
        <f>HYPERLINK("https://www.ncbi.nlm.nih.gov/nucleotide/KF233752.1?report=genbank&amp;log$=nucltop&amp;blast_rank=35&amp;RID=29VYGZG1013","KF233752.1")</f>
        <v>KF233752.1</v>
      </c>
    </row>
    <row r="550" spans="1:7" x14ac:dyDescent="0.35">
      <c r="A550" s="4" t="s">
        <v>592</v>
      </c>
      <c r="B550" s="4">
        <v>53.5</v>
      </c>
      <c r="C550" s="4">
        <v>53.5</v>
      </c>
      <c r="D550" s="5">
        <v>0.42</v>
      </c>
      <c r="E550" s="6">
        <v>2.0000000000000001E-4</v>
      </c>
      <c r="F550" s="4">
        <v>40</v>
      </c>
      <c r="G550" s="4" t="str">
        <f>HYPERLINK("https://www.ncbi.nlm.nih.gov/nucleotide/EU855738.1?report=genbank&amp;log$=nucltop&amp;blast_rank=36&amp;RID=29VYGZG1013","EU855738.1")</f>
        <v>EU855738.1</v>
      </c>
    </row>
    <row r="551" spans="1:7" x14ac:dyDescent="0.35">
      <c r="A551" s="4" t="s">
        <v>876</v>
      </c>
      <c r="B551" s="4">
        <v>52.8</v>
      </c>
      <c r="C551" s="4">
        <v>52.8</v>
      </c>
      <c r="D551" s="5">
        <v>0.42</v>
      </c>
      <c r="E551" s="6">
        <v>2.0000000000000001E-4</v>
      </c>
      <c r="F551" s="4">
        <v>40</v>
      </c>
      <c r="G551" s="4" t="str">
        <f>HYPERLINK("https://www.ncbi.nlm.nih.gov/nucleotide/XM_024901619.1?report=genbank&amp;log$=nucltop&amp;blast_rank=37&amp;RID=29VYGZG1013","XM_024901619.1")</f>
        <v>XM_024901619.1</v>
      </c>
    </row>
    <row r="552" spans="1:7" x14ac:dyDescent="0.35">
      <c r="A552" s="4" t="s">
        <v>877</v>
      </c>
      <c r="B552" s="4">
        <v>52.4</v>
      </c>
      <c r="C552" s="4">
        <v>52.4</v>
      </c>
      <c r="D552" s="5">
        <v>0.42</v>
      </c>
      <c r="E552" s="6">
        <v>2.0000000000000001E-4</v>
      </c>
      <c r="F552" s="4">
        <v>40</v>
      </c>
      <c r="G552" s="4" t="str">
        <f>HYPERLINK("https://www.ncbi.nlm.nih.gov/nucleotide/XM_024924002.1?report=genbank&amp;log$=nucltop&amp;blast_rank=38&amp;RID=29VYGZG1013","XM_024924002.1")</f>
        <v>XM_024924002.1</v>
      </c>
    </row>
    <row r="553" spans="1:7" x14ac:dyDescent="0.35">
      <c r="A553" s="4" t="s">
        <v>878</v>
      </c>
      <c r="B553" s="4">
        <v>52</v>
      </c>
      <c r="C553" s="4">
        <v>52</v>
      </c>
      <c r="D553" s="5">
        <v>0.42</v>
      </c>
      <c r="E553" s="6">
        <v>2.9999999999999997E-4</v>
      </c>
      <c r="F553" s="4">
        <v>40</v>
      </c>
      <c r="G553" s="4" t="str">
        <f>HYPERLINK("https://www.ncbi.nlm.nih.gov/nucleotide/XM_024891493.1?report=genbank&amp;log$=nucltop&amp;blast_rank=39&amp;RID=29VYGZG1013","XM_024891493.1")</f>
        <v>XM_024891493.1</v>
      </c>
    </row>
    <row r="554" spans="1:7" x14ac:dyDescent="0.35">
      <c r="A554" s="4" t="s">
        <v>584</v>
      </c>
      <c r="B554" s="4">
        <v>52</v>
      </c>
      <c r="C554" s="4">
        <v>52</v>
      </c>
      <c r="D554" s="5">
        <v>0.42</v>
      </c>
      <c r="E554" s="6">
        <v>2.9999999999999997E-4</v>
      </c>
      <c r="F554" s="4">
        <v>40</v>
      </c>
      <c r="G554" s="4" t="str">
        <f>HYPERLINK("https://www.ncbi.nlm.nih.gov/nucleotide/XM_743744.1?report=genbank&amp;log$=nucltop&amp;blast_rank=40&amp;RID=29VYGZG1013","XM_743744.1")</f>
        <v>XM_743744.1</v>
      </c>
    </row>
    <row r="555" spans="1:7" x14ac:dyDescent="0.35">
      <c r="A555" s="4" t="s">
        <v>1359</v>
      </c>
      <c r="B555" s="4">
        <v>52</v>
      </c>
      <c r="C555" s="4">
        <v>52</v>
      </c>
      <c r="D555" s="5">
        <v>0.42</v>
      </c>
      <c r="E555" s="6">
        <v>4.0000000000000002E-4</v>
      </c>
      <c r="F555" s="4">
        <v>40</v>
      </c>
      <c r="G555" s="4" t="str">
        <f>HYPERLINK("https://www.ncbi.nlm.nih.gov/nucleotide/XM_006967010.1?report=genbank&amp;log$=nucltop&amp;blast_rank=41&amp;RID=29VYGZG1013","XM_006967010.1")</f>
        <v>XM_006967010.1</v>
      </c>
    </row>
    <row r="556" spans="1:7" x14ac:dyDescent="0.35">
      <c r="A556" s="4" t="s">
        <v>1360</v>
      </c>
      <c r="B556" s="4">
        <v>51.6</v>
      </c>
      <c r="C556" s="4">
        <v>51.6</v>
      </c>
      <c r="D556" s="5">
        <v>0.42</v>
      </c>
      <c r="E556" s="6">
        <v>4.0000000000000002E-4</v>
      </c>
      <c r="F556" s="4">
        <v>40</v>
      </c>
      <c r="G556" s="4" t="str">
        <f>HYPERLINK("https://www.ncbi.nlm.nih.gov/nucleotide/KF979306.1?report=genbank&amp;log$=nucltop&amp;blast_rank=42&amp;RID=29VYGZG1013","KF979306.1")</f>
        <v>KF979306.1</v>
      </c>
    </row>
    <row r="557" spans="1:7" x14ac:dyDescent="0.35">
      <c r="A557" t="s">
        <v>615</v>
      </c>
      <c r="B557">
        <v>89.4</v>
      </c>
      <c r="C557">
        <v>89.4</v>
      </c>
      <c r="D557" s="2">
        <v>0.7</v>
      </c>
      <c r="E557" s="3">
        <v>1.0000000000000001E-18</v>
      </c>
      <c r="F557">
        <v>39.86</v>
      </c>
      <c r="G557" t="str">
        <f>HYPERLINK("https://www.ncbi.nlm.nih.gov/nucleotide/XM_019168695.1?report=genbank&amp;log$=nucltop&amp;blast_rank=43&amp;RID=29VYGZG1013","XM_019168695.1")</f>
        <v>XM_019168695.1</v>
      </c>
    </row>
    <row r="558" spans="1:7" x14ac:dyDescent="0.35">
      <c r="A558" t="s">
        <v>603</v>
      </c>
      <c r="B558">
        <v>56.2</v>
      </c>
      <c r="C558">
        <v>56.2</v>
      </c>
      <c r="D558" s="2">
        <v>0.5</v>
      </c>
      <c r="E558" s="3">
        <v>2.0000000000000002E-5</v>
      </c>
      <c r="F558">
        <v>39.39</v>
      </c>
      <c r="G558" t="str">
        <f>HYPERLINK("https://www.ncbi.nlm.nih.gov/nucleotide/XM_020268649.1?report=genbank&amp;log$=nucltop&amp;blast_rank=44&amp;RID=29VYGZG1013","XM_020268649.1")</f>
        <v>XM_020268649.1</v>
      </c>
    </row>
    <row r="559" spans="1:7" x14ac:dyDescent="0.35">
      <c r="A559" t="s">
        <v>617</v>
      </c>
      <c r="B559">
        <v>103</v>
      </c>
      <c r="C559">
        <v>103</v>
      </c>
      <c r="D559" s="2">
        <v>0.84</v>
      </c>
      <c r="E559" s="3">
        <v>9.9999999999999996E-24</v>
      </c>
      <c r="F559">
        <v>39.31</v>
      </c>
      <c r="G559" t="str">
        <f>HYPERLINK("https://www.ncbi.nlm.nih.gov/nucleotide/XM_019169100.1?report=genbank&amp;log$=nucltop&amp;blast_rank=45&amp;RID=29VYGZG1013","XM_019169100.1")</f>
        <v>XM_019169100.1</v>
      </c>
    </row>
    <row r="560" spans="1:7" x14ac:dyDescent="0.35">
      <c r="A560" t="s">
        <v>147</v>
      </c>
      <c r="B560">
        <v>82.8</v>
      </c>
      <c r="C560">
        <v>82.8</v>
      </c>
      <c r="D560" s="2">
        <v>0.7</v>
      </c>
      <c r="E560" s="3">
        <v>2.0000000000000002E-15</v>
      </c>
      <c r="F560">
        <v>39.19</v>
      </c>
      <c r="G560" t="str">
        <f>HYPERLINK("https://www.ncbi.nlm.nih.gov/nucleotide/XM_007743610.1?report=genbank&amp;log$=nucltop&amp;blast_rank=46&amp;RID=29VYGZG1013","XM_007743610.1")</f>
        <v>XM_007743610.1</v>
      </c>
    </row>
    <row r="561" spans="1:7" x14ac:dyDescent="0.35">
      <c r="A561" t="s">
        <v>612</v>
      </c>
      <c r="B561">
        <v>78.599999999999994</v>
      </c>
      <c r="C561">
        <v>78.599999999999994</v>
      </c>
      <c r="D561" s="2">
        <v>0.7</v>
      </c>
      <c r="E561" s="3">
        <v>2E-14</v>
      </c>
      <c r="F561">
        <v>39.19</v>
      </c>
      <c r="G561" t="str">
        <f>HYPERLINK("https://www.ncbi.nlm.nih.gov/nucleotide/XM_013568610.1?report=genbank&amp;log$=nucltop&amp;blast_rank=47&amp;RID=29VYGZG1013","XM_013568610.1")</f>
        <v>XM_013568610.1</v>
      </c>
    </row>
    <row r="562" spans="1:7" x14ac:dyDescent="0.35">
      <c r="A562" t="s">
        <v>164</v>
      </c>
      <c r="B562">
        <v>81.599999999999994</v>
      </c>
      <c r="C562">
        <v>81.599999999999994</v>
      </c>
      <c r="D562" s="2">
        <v>0.7</v>
      </c>
      <c r="E562" s="3">
        <v>4E-14</v>
      </c>
      <c r="F562">
        <v>39.19</v>
      </c>
      <c r="G562" t="str">
        <f>HYPERLINK("https://www.ncbi.nlm.nih.gov/nucleotide/XM_009160507.1?report=genbank&amp;log$=nucltop&amp;blast_rank=48&amp;RID=29VYGZG1013","XM_009160507.1")</f>
        <v>XM_009160507.1</v>
      </c>
    </row>
    <row r="563" spans="1:7" x14ac:dyDescent="0.35">
      <c r="A563" t="s">
        <v>616</v>
      </c>
      <c r="B563">
        <v>54.3</v>
      </c>
      <c r="C563">
        <v>54.3</v>
      </c>
      <c r="D563" s="2">
        <v>0.47</v>
      </c>
      <c r="E563" s="3">
        <v>1E-4</v>
      </c>
      <c r="F563">
        <v>38.950000000000003</v>
      </c>
      <c r="G563" t="str">
        <f>HYPERLINK("https://www.ncbi.nlm.nih.gov/nucleotide/CP036226.1?report=genbank&amp;log$=nucltop&amp;blast_rank=49&amp;RID=29VYGZG1013","CP036226.1")</f>
        <v>CP036226.1</v>
      </c>
    </row>
    <row r="564" spans="1:7" x14ac:dyDescent="0.35">
      <c r="A564" s="4" t="s">
        <v>1361</v>
      </c>
      <c r="B564" s="4">
        <v>51.2</v>
      </c>
      <c r="C564" s="4">
        <v>51.2</v>
      </c>
      <c r="D564" s="5">
        <v>0.45</v>
      </c>
      <c r="E564" s="6">
        <v>2.9999999999999997E-4</v>
      </c>
      <c r="F564" s="4">
        <v>38.89</v>
      </c>
      <c r="G564" s="4" t="str">
        <f>HYPERLINK("https://www.ncbi.nlm.nih.gov/nucleotide/XM_039054075.1?report=genbank&amp;log$=nucltop&amp;blast_rank=50&amp;RID=29VYGZG1013","XM_039054075.1")</f>
        <v>XM_039054075.1</v>
      </c>
    </row>
    <row r="565" spans="1:7" x14ac:dyDescent="0.35">
      <c r="A565" s="4" t="s">
        <v>627</v>
      </c>
      <c r="B565" s="4">
        <v>53.1</v>
      </c>
      <c r="C565" s="4">
        <v>53.1</v>
      </c>
      <c r="D565" s="5">
        <v>0.42</v>
      </c>
      <c r="E565" s="6">
        <v>5.0000000000000002E-5</v>
      </c>
      <c r="F565" s="4">
        <v>38.82</v>
      </c>
      <c r="G565" s="4" t="str">
        <f>HYPERLINK("https://www.ncbi.nlm.nih.gov/nucleotide/XM_031151746.1?report=genbank&amp;log$=nucltop&amp;blast_rank=51&amp;RID=29VYGZG1013","XM_031151746.1")</f>
        <v>XM_031151746.1</v>
      </c>
    </row>
    <row r="566" spans="1:7" x14ac:dyDescent="0.35">
      <c r="A566" t="s">
        <v>1362</v>
      </c>
      <c r="B566">
        <v>83.2</v>
      </c>
      <c r="C566">
        <v>83.2</v>
      </c>
      <c r="D566" s="2">
        <v>0.7</v>
      </c>
      <c r="E566" s="3">
        <v>2.0000000000000002E-15</v>
      </c>
      <c r="F566">
        <v>38.51</v>
      </c>
      <c r="G566" t="str">
        <f>HYPERLINK("https://www.ncbi.nlm.nih.gov/nucleotide/XM_018839273.1?report=genbank&amp;log$=nucltop&amp;blast_rank=52&amp;RID=29VYGZG1013","XM_018839273.1")</f>
        <v>XM_018839273.1</v>
      </c>
    </row>
    <row r="567" spans="1:7" x14ac:dyDescent="0.35">
      <c r="A567" t="s">
        <v>135</v>
      </c>
      <c r="B567">
        <v>76.3</v>
      </c>
      <c r="C567">
        <v>76.3</v>
      </c>
      <c r="D567" s="2">
        <v>0.61</v>
      </c>
      <c r="E567" s="3">
        <v>8E-14</v>
      </c>
      <c r="F567">
        <v>38.33</v>
      </c>
      <c r="G567" t="str">
        <f>HYPERLINK("https://www.ncbi.nlm.nih.gov/nucleotide/XM_007732967.1?report=genbank&amp;log$=nucltop&amp;blast_rank=53&amp;RID=29VYGZG1013","XM_007732967.1")</f>
        <v>XM_007732967.1</v>
      </c>
    </row>
    <row r="568" spans="1:7" x14ac:dyDescent="0.35">
      <c r="A568" t="s">
        <v>1318</v>
      </c>
      <c r="B568">
        <v>76.599999999999994</v>
      </c>
      <c r="C568">
        <v>76.599999999999994</v>
      </c>
      <c r="D568" s="2">
        <v>0.61</v>
      </c>
      <c r="E568" s="3">
        <v>2.0000000000000001E-13</v>
      </c>
      <c r="F568">
        <v>38.33</v>
      </c>
      <c r="G568" t="str">
        <f>HYPERLINK("https://www.ncbi.nlm.nih.gov/nucleotide/XM_008714077.1?report=genbank&amp;log$=nucltop&amp;blast_rank=54&amp;RID=29VYGZG1013","XM_008714077.1")</f>
        <v>XM_008714077.1</v>
      </c>
    </row>
    <row r="569" spans="1:7" x14ac:dyDescent="0.35">
      <c r="A569" t="s">
        <v>619</v>
      </c>
      <c r="B569">
        <v>77.8</v>
      </c>
      <c r="C569">
        <v>77.8</v>
      </c>
      <c r="D569" s="2">
        <v>0.7</v>
      </c>
      <c r="E569" s="3">
        <v>8E-14</v>
      </c>
      <c r="F569">
        <v>38.26</v>
      </c>
      <c r="G569" t="str">
        <f>HYPERLINK("https://www.ncbi.nlm.nih.gov/nucleotide/XM_029909166.1?report=genbank&amp;log$=nucltop&amp;blast_rank=55&amp;RID=29VYGZG1013","XM_029909166.1")</f>
        <v>XM_029909166.1</v>
      </c>
    </row>
    <row r="570" spans="1:7" x14ac:dyDescent="0.35">
      <c r="A570" t="s">
        <v>252</v>
      </c>
      <c r="B570">
        <v>78.2</v>
      </c>
      <c r="C570">
        <v>78.2</v>
      </c>
      <c r="D570" s="2">
        <v>0.7</v>
      </c>
      <c r="E570" s="3">
        <v>2.0000000000000001E-13</v>
      </c>
      <c r="F570">
        <v>38.1</v>
      </c>
      <c r="G570" t="str">
        <f>HYPERLINK("https://www.ncbi.nlm.nih.gov/nucleotide/XM_018185011.1?report=genbank&amp;log$=nucltop&amp;blast_rank=56&amp;RID=29VYGZG1013","XM_018185011.1")</f>
        <v>XM_018185011.1</v>
      </c>
    </row>
    <row r="571" spans="1:7" x14ac:dyDescent="0.35">
      <c r="A571" t="s">
        <v>968</v>
      </c>
      <c r="B571">
        <v>56.2</v>
      </c>
      <c r="C571">
        <v>56.2</v>
      </c>
      <c r="D571" s="2">
        <v>0.8</v>
      </c>
      <c r="E571" s="3">
        <v>1.0000000000000001E-5</v>
      </c>
      <c r="F571">
        <v>37.93</v>
      </c>
      <c r="G571" t="str">
        <f>HYPERLINK("https://www.ncbi.nlm.nih.gov/nucleotide/XM_027755780.1?report=genbank&amp;log$=nucltop&amp;blast_rank=57&amp;RID=29VYGZG1013","XM_027755780.1")</f>
        <v>XM_027755780.1</v>
      </c>
    </row>
    <row r="572" spans="1:7" x14ac:dyDescent="0.35">
      <c r="A572" t="s">
        <v>180</v>
      </c>
      <c r="B572">
        <v>83.6</v>
      </c>
      <c r="C572">
        <v>83.6</v>
      </c>
      <c r="D572" s="2">
        <v>0.7</v>
      </c>
      <c r="E572" s="3">
        <v>8.0000000000000006E-15</v>
      </c>
      <c r="F572">
        <v>37.840000000000003</v>
      </c>
      <c r="G572" t="str">
        <f>HYPERLINK("https://www.ncbi.nlm.nih.gov/nucleotide/XM_016358632.1?report=genbank&amp;log$=nucltop&amp;blast_rank=58&amp;RID=29VYGZG1013","XM_016358632.1")</f>
        <v>XM_016358632.1</v>
      </c>
    </row>
    <row r="573" spans="1:7" x14ac:dyDescent="0.35">
      <c r="A573" t="s">
        <v>1363</v>
      </c>
      <c r="B573">
        <v>82.8</v>
      </c>
      <c r="C573">
        <v>82.8</v>
      </c>
      <c r="D573" s="2">
        <v>0.7</v>
      </c>
      <c r="E573" s="3">
        <v>8.9999999999999995E-15</v>
      </c>
      <c r="F573">
        <v>37.840000000000003</v>
      </c>
      <c r="G573" t="str">
        <f>HYPERLINK("https://www.ncbi.nlm.nih.gov/nucleotide/XM_016395158.1?report=genbank&amp;log$=nucltop&amp;blast_rank=59&amp;RID=29VYGZG1013","XM_016395158.1")</f>
        <v>XM_016395158.1</v>
      </c>
    </row>
    <row r="574" spans="1:7" x14ac:dyDescent="0.35">
      <c r="A574" t="s">
        <v>1364</v>
      </c>
      <c r="B574">
        <v>72.400000000000006</v>
      </c>
      <c r="C574">
        <v>72.400000000000006</v>
      </c>
      <c r="D574" s="2">
        <v>0.7</v>
      </c>
      <c r="E574" s="3">
        <v>3.9999999999999999E-12</v>
      </c>
      <c r="F574">
        <v>37.840000000000003</v>
      </c>
      <c r="G574" t="str">
        <f>HYPERLINK("https://www.ncbi.nlm.nih.gov/nucleotide/XM_033745282.1?report=genbank&amp;log$=nucltop&amp;blast_rank=60&amp;RID=29VYGZG1013","XM_033745282.1")</f>
        <v>XM_033745282.1</v>
      </c>
    </row>
    <row r="575" spans="1:7" x14ac:dyDescent="0.35">
      <c r="A575" s="4" t="s">
        <v>583</v>
      </c>
      <c r="B575" s="4">
        <v>56.2</v>
      </c>
      <c r="C575" s="4">
        <v>56.2</v>
      </c>
      <c r="D575" s="5">
        <v>0.42</v>
      </c>
      <c r="E575" s="6">
        <v>6.9999999999999999E-6</v>
      </c>
      <c r="F575" s="4">
        <v>37.65</v>
      </c>
      <c r="G575" s="4" t="str">
        <f>HYPERLINK("https://www.ncbi.nlm.nih.gov/nucleotide/XM_001261624.1?report=genbank&amp;log$=nucltop&amp;blast_rank=61&amp;RID=29VYGZG1013","XM_001261624.1")</f>
        <v>XM_001261624.1</v>
      </c>
    </row>
    <row r="576" spans="1:7" x14ac:dyDescent="0.35">
      <c r="A576" s="4" t="s">
        <v>581</v>
      </c>
      <c r="B576" s="4">
        <v>55.1</v>
      </c>
      <c r="C576" s="4">
        <v>55.1</v>
      </c>
      <c r="D576" s="5">
        <v>0.42</v>
      </c>
      <c r="E576" s="6">
        <v>2.0000000000000002E-5</v>
      </c>
      <c r="F576" s="4">
        <v>37.65</v>
      </c>
      <c r="G576" s="4" t="str">
        <f>HYPERLINK("https://www.ncbi.nlm.nih.gov/nucleotide/XM_033562645.1?report=genbank&amp;log$=nucltop&amp;blast_rank=62&amp;RID=29VYGZG1013","XM_033562645.1")</f>
        <v>XM_033562645.1</v>
      </c>
    </row>
    <row r="577" spans="1:7" x14ac:dyDescent="0.35">
      <c r="A577" t="s">
        <v>590</v>
      </c>
      <c r="B577">
        <v>55.1</v>
      </c>
      <c r="C577">
        <v>55.1</v>
      </c>
      <c r="D577" s="2">
        <v>0.42</v>
      </c>
      <c r="E577" s="3">
        <v>5.0000000000000002E-5</v>
      </c>
      <c r="F577">
        <v>37.65</v>
      </c>
      <c r="G577" t="str">
        <f>HYPERLINK("https://www.ncbi.nlm.nih.gov/nucleotide/CP045658.1?report=genbank&amp;log$=nucltop&amp;blast_rank=63&amp;RID=29VYGZG1013","CP045658.1")</f>
        <v>CP045658.1</v>
      </c>
    </row>
    <row r="578" spans="1:7" x14ac:dyDescent="0.35">
      <c r="A578" t="s">
        <v>591</v>
      </c>
      <c r="B578">
        <v>55.1</v>
      </c>
      <c r="C578">
        <v>55.1</v>
      </c>
      <c r="D578" s="2">
        <v>0.42</v>
      </c>
      <c r="E578" s="3">
        <v>5.0000000000000002E-5</v>
      </c>
      <c r="F578">
        <v>37.65</v>
      </c>
      <c r="G578" t="str">
        <f>HYPERLINK("https://www.ncbi.nlm.nih.gov/nucleotide/CP015872.1?report=genbank&amp;log$=nucltop&amp;blast_rank=64&amp;RID=29VYGZG1013","CP015872.1")</f>
        <v>CP015872.1</v>
      </c>
    </row>
    <row r="579" spans="1:7" x14ac:dyDescent="0.35">
      <c r="A579" t="s">
        <v>174</v>
      </c>
      <c r="B579">
        <v>82.8</v>
      </c>
      <c r="C579">
        <v>82.8</v>
      </c>
      <c r="D579" s="2">
        <v>0.7</v>
      </c>
      <c r="E579" s="3">
        <v>1.0000000000000001E-15</v>
      </c>
      <c r="F579">
        <v>37.159999999999997</v>
      </c>
      <c r="G579" t="str">
        <f>HYPERLINK("https://www.ncbi.nlm.nih.gov/nucleotide/XM_016771739.1?report=genbank&amp;log$=nucltop&amp;blast_rank=65&amp;RID=29VYGZG1013","XM_016771739.1")</f>
        <v>XM_016771739.1</v>
      </c>
    </row>
    <row r="580" spans="1:7" x14ac:dyDescent="0.35">
      <c r="A580" t="s">
        <v>156</v>
      </c>
      <c r="B580">
        <v>80.5</v>
      </c>
      <c r="C580">
        <v>80.5</v>
      </c>
      <c r="D580" s="2">
        <v>0.7</v>
      </c>
      <c r="E580" s="3">
        <v>2E-14</v>
      </c>
      <c r="F580">
        <v>37.159999999999997</v>
      </c>
      <c r="G580" t="str">
        <f>HYPERLINK("https://www.ncbi.nlm.nih.gov/nucleotide/XM_013423286.1?report=genbank&amp;log$=nucltop&amp;blast_rank=66&amp;RID=29VYGZG1013","XM_013423286.1")</f>
        <v>XM_013423286.1</v>
      </c>
    </row>
    <row r="581" spans="1:7" x14ac:dyDescent="0.35">
      <c r="A581" t="s">
        <v>1365</v>
      </c>
      <c r="B581">
        <v>80.5</v>
      </c>
      <c r="C581">
        <v>80.5</v>
      </c>
      <c r="D581" s="2">
        <v>0.7</v>
      </c>
      <c r="E581" s="3">
        <v>2E-14</v>
      </c>
      <c r="F581">
        <v>37.159999999999997</v>
      </c>
      <c r="G581" t="str">
        <f>HYPERLINK("https://www.ncbi.nlm.nih.gov/nucleotide/XM_022656113.1?report=genbank&amp;log$=nucltop&amp;blast_rank=67&amp;RID=29VYGZG1013","XM_022656113.1")</f>
        <v>XM_022656113.1</v>
      </c>
    </row>
    <row r="582" spans="1:7" x14ac:dyDescent="0.35">
      <c r="A582" t="s">
        <v>1366</v>
      </c>
      <c r="B582">
        <v>81.599999999999994</v>
      </c>
      <c r="C582">
        <v>81.599999999999994</v>
      </c>
      <c r="D582" s="2">
        <v>0.7</v>
      </c>
      <c r="E582" s="3">
        <v>4E-14</v>
      </c>
      <c r="F582">
        <v>37.159999999999997</v>
      </c>
      <c r="G582" t="str">
        <f>HYPERLINK("https://www.ncbi.nlm.nih.gov/nucleotide/XM_022646719.1?report=genbank&amp;log$=nucltop&amp;blast_rank=68&amp;RID=29VYGZG1013","XM_022646719.1")</f>
        <v>XM_022646719.1</v>
      </c>
    </row>
    <row r="583" spans="1:7" x14ac:dyDescent="0.35">
      <c r="A583" s="4" t="s">
        <v>1367</v>
      </c>
      <c r="B583" s="4">
        <v>73.599999999999994</v>
      </c>
      <c r="C583" s="4">
        <v>73.599999999999994</v>
      </c>
      <c r="D583" s="5">
        <v>0.69</v>
      </c>
      <c r="E583" s="6">
        <v>4.9999999999999997E-12</v>
      </c>
      <c r="F583" s="4">
        <v>37.159999999999997</v>
      </c>
      <c r="G583" s="4" t="str">
        <f>HYPERLINK("https://www.ncbi.nlm.nih.gov/nucleotide/XM_013483434.1?report=genbank&amp;log$=nucltop&amp;blast_rank=69&amp;RID=29VYGZG1013","XM_013483434.1")</f>
        <v>XM_013483434.1</v>
      </c>
    </row>
    <row r="584" spans="1:7" x14ac:dyDescent="0.35">
      <c r="A584" t="s">
        <v>1338</v>
      </c>
      <c r="B584">
        <v>73.900000000000006</v>
      </c>
      <c r="C584">
        <v>73.900000000000006</v>
      </c>
      <c r="D584" s="2">
        <v>0.7</v>
      </c>
      <c r="E584" s="3">
        <v>8.9999999999999996E-12</v>
      </c>
      <c r="F584">
        <v>37.159999999999997</v>
      </c>
      <c r="G584" t="str">
        <f>HYPERLINK("https://www.ncbi.nlm.nih.gov/nucleotide/XM_013466261.1?report=genbank&amp;log$=nucltop&amp;blast_rank=70&amp;RID=29VYGZG1013","XM_013466261.1")</f>
        <v>XM_013466261.1</v>
      </c>
    </row>
    <row r="585" spans="1:7" x14ac:dyDescent="0.35">
      <c r="A585" t="s">
        <v>191</v>
      </c>
      <c r="B585">
        <v>73.2</v>
      </c>
      <c r="C585">
        <v>73.2</v>
      </c>
      <c r="D585" s="2">
        <v>0.7</v>
      </c>
      <c r="E585" s="3">
        <v>9.9999999999999994E-12</v>
      </c>
      <c r="F585">
        <v>37.159999999999997</v>
      </c>
      <c r="G585" t="str">
        <f>HYPERLINK("https://www.ncbi.nlm.nih.gov/nucleotide/XM_016384532.1?report=genbank&amp;log$=nucltop&amp;blast_rank=71&amp;RID=29VYGZG1013","XM_016384532.1")</f>
        <v>XM_016384532.1</v>
      </c>
    </row>
    <row r="586" spans="1:7" x14ac:dyDescent="0.35">
      <c r="A586" t="s">
        <v>626</v>
      </c>
      <c r="B586">
        <v>65.099999999999994</v>
      </c>
      <c r="C586">
        <v>65.099999999999994</v>
      </c>
      <c r="D586" s="2">
        <v>0.7</v>
      </c>
      <c r="E586" s="3">
        <v>8.9999999999999995E-9</v>
      </c>
      <c r="F586">
        <v>36.770000000000003</v>
      </c>
      <c r="G586" t="str">
        <f>HYPERLINK("https://www.ncbi.nlm.nih.gov/nucleotide/XM_037304152.1?report=genbank&amp;log$=nucltop&amp;blast_rank=72&amp;RID=29VYGZG1013","XM_037304152.1")</f>
        <v>XM_037304152.1</v>
      </c>
    </row>
    <row r="587" spans="1:7" x14ac:dyDescent="0.35">
      <c r="A587" s="4" t="s">
        <v>972</v>
      </c>
      <c r="B587" s="4">
        <v>67.8</v>
      </c>
      <c r="C587" s="4">
        <v>67.8</v>
      </c>
      <c r="D587" s="5">
        <v>0.6</v>
      </c>
      <c r="E587" s="6">
        <v>7.0000000000000004E-11</v>
      </c>
      <c r="F587" s="4">
        <v>36.75</v>
      </c>
      <c r="G587" s="4" t="str">
        <f>HYPERLINK("https://www.ncbi.nlm.nih.gov/nucleotide/XM_013483409.1?report=genbank&amp;log$=nucltop&amp;blast_rank=73&amp;RID=29VYGZG1013","XM_013483409.1")</f>
        <v>XM_013483409.1</v>
      </c>
    </row>
    <row r="588" spans="1:7" x14ac:dyDescent="0.35">
      <c r="A588" t="s">
        <v>618</v>
      </c>
      <c r="B588">
        <v>79.7</v>
      </c>
      <c r="C588">
        <v>79.7</v>
      </c>
      <c r="D588" s="2">
        <v>0.7</v>
      </c>
      <c r="E588" s="3">
        <v>4E-14</v>
      </c>
      <c r="F588">
        <v>36.729999999999997</v>
      </c>
      <c r="G588" t="str">
        <f>HYPERLINK("https://www.ncbi.nlm.nih.gov/nucleotide/XM_008726366.1?report=genbank&amp;log$=nucltop&amp;blast_rank=74&amp;RID=29VYGZG1013","XM_008726366.1")</f>
        <v>XM_008726366.1</v>
      </c>
    </row>
    <row r="589" spans="1:7" x14ac:dyDescent="0.35">
      <c r="A589" t="s">
        <v>586</v>
      </c>
      <c r="B589">
        <v>56.2</v>
      </c>
      <c r="C589">
        <v>56.2</v>
      </c>
      <c r="D589" s="2">
        <v>0.5</v>
      </c>
      <c r="E589" s="3">
        <v>1.0000000000000001E-5</v>
      </c>
      <c r="F589">
        <v>36.36</v>
      </c>
      <c r="G589" t="str">
        <f>HYPERLINK("https://www.ncbi.nlm.nih.gov/nucleotide/XM_002150023.1?report=genbank&amp;log$=nucltop&amp;blast_rank=75&amp;RID=29VYGZG1013","XM_002150023.1")</f>
        <v>XM_002150023.1</v>
      </c>
    </row>
    <row r="590" spans="1:7" x14ac:dyDescent="0.35">
      <c r="A590" t="s">
        <v>614</v>
      </c>
      <c r="B590">
        <v>56.2</v>
      </c>
      <c r="C590">
        <v>56.2</v>
      </c>
      <c r="D590" s="2">
        <v>0.53</v>
      </c>
      <c r="E590" s="3">
        <v>1.0000000000000001E-5</v>
      </c>
      <c r="F590">
        <v>36.130000000000003</v>
      </c>
      <c r="G590" t="str">
        <f>HYPERLINK("https://www.ncbi.nlm.nih.gov/nucleotide/XM_024920487.1?report=genbank&amp;log$=nucltop&amp;blast_rank=76&amp;RID=29VYGZG1013","XM_024920487.1")</f>
        <v>XM_024920487.1</v>
      </c>
    </row>
    <row r="591" spans="1:7" x14ac:dyDescent="0.35">
      <c r="A591" t="s">
        <v>621</v>
      </c>
      <c r="B591">
        <v>79.3</v>
      </c>
      <c r="C591">
        <v>79.3</v>
      </c>
      <c r="D591" s="2">
        <v>0.7</v>
      </c>
      <c r="E591" s="3">
        <v>4E-14</v>
      </c>
      <c r="F591">
        <v>36.049999999999997</v>
      </c>
      <c r="G591" t="str">
        <f>HYPERLINK("https://www.ncbi.nlm.nih.gov/nucleotide/XM_007758036.1?report=genbank&amp;log$=nucltop&amp;blast_rank=77&amp;RID=29VYGZG1013","XM_007758036.1")</f>
        <v>XM_007758036.1</v>
      </c>
    </row>
    <row r="592" spans="1:7" x14ac:dyDescent="0.35">
      <c r="A592" t="s">
        <v>625</v>
      </c>
      <c r="B592">
        <v>61.6</v>
      </c>
      <c r="C592">
        <v>61.6</v>
      </c>
      <c r="D592" s="2">
        <v>0.69</v>
      </c>
      <c r="E592" s="3">
        <v>4.0000000000000001E-8</v>
      </c>
      <c r="F592">
        <v>36.049999999999997</v>
      </c>
      <c r="G592" t="str">
        <f>HYPERLINK("https://www.ncbi.nlm.nih.gov/nucleotide/XM_035492496.1?report=genbank&amp;log$=nucltop&amp;blast_rank=78&amp;RID=29VYGZG1013","XM_035492496.1")</f>
        <v>XM_035492496.1</v>
      </c>
    </row>
    <row r="593" spans="1:7" x14ac:dyDescent="0.35">
      <c r="A593" t="s">
        <v>620</v>
      </c>
      <c r="B593">
        <v>61.6</v>
      </c>
      <c r="C593">
        <v>61.6</v>
      </c>
      <c r="D593" s="2">
        <v>0.69</v>
      </c>
      <c r="E593" s="3">
        <v>2.9999999999999999E-7</v>
      </c>
      <c r="F593">
        <v>36.049999999999997</v>
      </c>
      <c r="G593" t="str">
        <f>HYPERLINK("https://www.ncbi.nlm.nih.gov/nucleotide/CP055902.1?report=genbank&amp;log$=nucltop&amp;blast_rank=79&amp;RID=29VYGZG1013","CP055902.1")</f>
        <v>CP055902.1</v>
      </c>
    </row>
    <row r="594" spans="1:7" x14ac:dyDescent="0.35">
      <c r="A594" s="4" t="s">
        <v>969</v>
      </c>
      <c r="B594" s="4">
        <v>83.6</v>
      </c>
      <c r="C594" s="4">
        <v>83.6</v>
      </c>
      <c r="D594" s="5">
        <v>0.84</v>
      </c>
      <c r="E594" s="6">
        <v>4.0000000000000003E-15</v>
      </c>
      <c r="F594" s="4">
        <v>36</v>
      </c>
      <c r="G594" s="4" t="str">
        <f>HYPERLINK("https://www.ncbi.nlm.nih.gov/nucleotide/XM_033541563.1?report=genbank&amp;log$=nucltop&amp;blast_rank=80&amp;RID=29VYGZG1013","XM_033541563.1")</f>
        <v>XM_033541563.1</v>
      </c>
    </row>
    <row r="595" spans="1:7" x14ac:dyDescent="0.35">
      <c r="A595" t="s">
        <v>225</v>
      </c>
      <c r="B595">
        <v>77.400000000000006</v>
      </c>
      <c r="C595">
        <v>77.400000000000006</v>
      </c>
      <c r="D595" s="2">
        <v>0.7</v>
      </c>
      <c r="E595" s="3">
        <v>2.0000000000000001E-13</v>
      </c>
      <c r="F595">
        <v>35.81</v>
      </c>
      <c r="G595" t="str">
        <f>HYPERLINK("https://www.ncbi.nlm.nih.gov/nucleotide/XM_007721592.1?report=genbank&amp;log$=nucltop&amp;blast_rank=81&amp;RID=29VYGZG1013","XM_007721592.1")</f>
        <v>XM_007721592.1</v>
      </c>
    </row>
    <row r="596" spans="1:7" x14ac:dyDescent="0.35">
      <c r="A596" s="4" t="s">
        <v>1368</v>
      </c>
      <c r="B596" s="4">
        <v>65.900000000000006</v>
      </c>
      <c r="C596" s="4">
        <v>65.900000000000006</v>
      </c>
      <c r="D596" s="5">
        <v>0.7</v>
      </c>
      <c r="E596" s="6">
        <v>4.0000000000000002E-9</v>
      </c>
      <c r="F596" s="4">
        <v>35.81</v>
      </c>
      <c r="G596" s="4" t="str">
        <f>HYPERLINK("https://www.ncbi.nlm.nih.gov/nucleotide/XM_007679453.1?report=genbank&amp;log$=nucltop&amp;blast_rank=82&amp;RID=29VYGZG1013","XM_007679453.1")</f>
        <v>XM_007679453.1</v>
      </c>
    </row>
    <row r="597" spans="1:7" x14ac:dyDescent="0.35">
      <c r="A597" s="4" t="s">
        <v>623</v>
      </c>
      <c r="B597" s="4">
        <v>78.2</v>
      </c>
      <c r="C597" s="4">
        <v>78.2</v>
      </c>
      <c r="D597" s="5">
        <v>0.63</v>
      </c>
      <c r="E597" s="6">
        <v>2.9999999999999998E-14</v>
      </c>
      <c r="F597" s="4">
        <v>35.770000000000003</v>
      </c>
      <c r="G597" s="4" t="str">
        <f>HYPERLINK("https://www.ncbi.nlm.nih.gov/nucleotide/XM_020270009.1?report=genbank&amp;log$=nucltop&amp;blast_rank=83&amp;RID=29VYGZG1013","XM_020270009.1")</f>
        <v>XM_020270009.1</v>
      </c>
    </row>
    <row r="598" spans="1:7" x14ac:dyDescent="0.35">
      <c r="A598" s="4" t="s">
        <v>624</v>
      </c>
      <c r="B598" s="4">
        <v>77.8</v>
      </c>
      <c r="C598" s="4">
        <v>77.8</v>
      </c>
      <c r="D598" s="5">
        <v>0.63</v>
      </c>
      <c r="E598" s="6">
        <v>5.0000000000000002E-14</v>
      </c>
      <c r="F598" s="4">
        <v>35.770000000000003</v>
      </c>
      <c r="G598" s="4" t="str">
        <f>HYPERLINK("https://www.ncbi.nlm.nih.gov/nucleotide/XM_035512815.1?report=genbank&amp;log$=nucltop&amp;blast_rank=84&amp;RID=29VYGZG1013","XM_035512815.1")</f>
        <v>XM_035512815.1</v>
      </c>
    </row>
    <row r="599" spans="1:7" x14ac:dyDescent="0.35">
      <c r="A599" t="s">
        <v>632</v>
      </c>
      <c r="B599">
        <v>68.2</v>
      </c>
      <c r="C599">
        <v>68.2</v>
      </c>
      <c r="D599" s="2">
        <v>0.7</v>
      </c>
      <c r="E599" s="3">
        <v>8.0000000000000003E-10</v>
      </c>
      <c r="F599">
        <v>35.71</v>
      </c>
      <c r="G599" t="str">
        <f>HYPERLINK("https://www.ncbi.nlm.nih.gov/nucleotide/XM_037300507.1?report=genbank&amp;log$=nucltop&amp;blast_rank=85&amp;RID=29VYGZG1013","XM_037300507.1")</f>
        <v>XM_037300507.1</v>
      </c>
    </row>
    <row r="600" spans="1:7" x14ac:dyDescent="0.35">
      <c r="A600" t="s">
        <v>612</v>
      </c>
      <c r="B600">
        <v>71.599999999999994</v>
      </c>
      <c r="C600">
        <v>71.599999999999994</v>
      </c>
      <c r="D600" s="2">
        <v>0.7</v>
      </c>
      <c r="E600" s="3">
        <v>7.0000000000000001E-12</v>
      </c>
      <c r="F600">
        <v>35.14</v>
      </c>
      <c r="G600" t="str">
        <f>HYPERLINK("https://www.ncbi.nlm.nih.gov/nucleotide/XM_013568568.1?report=genbank&amp;log$=nucltop&amp;blast_rank=86&amp;RID=29VYGZG1013","XM_013568568.1")</f>
        <v>XM_013568568.1</v>
      </c>
    </row>
    <row r="601" spans="1:7" x14ac:dyDescent="0.35">
      <c r="A601" t="s">
        <v>630</v>
      </c>
      <c r="B601">
        <v>67</v>
      </c>
      <c r="C601">
        <v>67</v>
      </c>
      <c r="D601" s="2">
        <v>0.68</v>
      </c>
      <c r="E601" s="3">
        <v>1.0000000000000001E-9</v>
      </c>
      <c r="F601">
        <v>35.04</v>
      </c>
      <c r="G601" t="str">
        <f>HYPERLINK("https://www.ncbi.nlm.nih.gov/nucleotide/XM_037312413.1?report=genbank&amp;log$=nucltop&amp;blast_rank=87&amp;RID=29VYGZG1013","XM_037312413.1")</f>
        <v>XM_037312413.1</v>
      </c>
    </row>
    <row r="602" spans="1:7" x14ac:dyDescent="0.35">
      <c r="A602" t="s">
        <v>631</v>
      </c>
      <c r="B602">
        <v>67.400000000000006</v>
      </c>
      <c r="C602">
        <v>67.400000000000006</v>
      </c>
      <c r="D602" s="2">
        <v>0.68</v>
      </c>
      <c r="E602" s="3">
        <v>3E-9</v>
      </c>
      <c r="F602">
        <v>35.04</v>
      </c>
      <c r="G602" t="str">
        <f>HYPERLINK("https://www.ncbi.nlm.nih.gov/nucleotide/XM_037293061.1?report=genbank&amp;log$=nucltop&amp;blast_rank=88&amp;RID=29VYGZG1013","XM_037293061.1")</f>
        <v>XM_037293061.1</v>
      </c>
    </row>
    <row r="603" spans="1:7" x14ac:dyDescent="0.35">
      <c r="A603" t="s">
        <v>629</v>
      </c>
      <c r="B603">
        <v>57.8</v>
      </c>
      <c r="C603">
        <v>57.8</v>
      </c>
      <c r="D603" s="2">
        <v>0.8</v>
      </c>
      <c r="E603" s="3">
        <v>5.0000000000000004E-6</v>
      </c>
      <c r="F603">
        <v>34.68</v>
      </c>
      <c r="G603" t="str">
        <f>HYPERLINK("https://www.ncbi.nlm.nih.gov/nucleotide/XM_007317493.1?report=genbank&amp;log$=nucltop&amp;blast_rank=89&amp;RID=29VYGZG1013","XM_007317493.1")</f>
        <v>XM_007317493.1</v>
      </c>
    </row>
    <row r="604" spans="1:7" x14ac:dyDescent="0.35">
      <c r="A604" t="s">
        <v>938</v>
      </c>
      <c r="B604">
        <v>69.3</v>
      </c>
      <c r="C604">
        <v>69.3</v>
      </c>
      <c r="D604" s="2">
        <v>0.7</v>
      </c>
      <c r="E604" s="3">
        <v>2.0000000000000001E-10</v>
      </c>
      <c r="F604">
        <v>34.46</v>
      </c>
      <c r="G604" t="str">
        <f>HYPERLINK("https://www.ncbi.nlm.nih.gov/nucleotide/XM_013400778.1?report=genbank&amp;log$=nucltop&amp;blast_rank=90&amp;RID=29VYGZG1013","XM_013400778.1")</f>
        <v>XM_013400778.1</v>
      </c>
    </row>
    <row r="605" spans="1:7" x14ac:dyDescent="0.35">
      <c r="A605" t="s">
        <v>608</v>
      </c>
      <c r="B605">
        <v>66.2</v>
      </c>
      <c r="C605">
        <v>66.2</v>
      </c>
      <c r="D605" s="2">
        <v>0.7</v>
      </c>
      <c r="E605" s="3">
        <v>3E-9</v>
      </c>
      <c r="F605">
        <v>34.46</v>
      </c>
      <c r="G605" t="str">
        <f>HYPERLINK("https://www.ncbi.nlm.nih.gov/nucleotide/XM_018145729.1?report=genbank&amp;log$=nucltop&amp;blast_rank=91&amp;RID=29VYGZG1013","XM_018145729.1")</f>
        <v>XM_018145729.1</v>
      </c>
    </row>
    <row r="606" spans="1:7" x14ac:dyDescent="0.35">
      <c r="A606" s="4" t="s">
        <v>585</v>
      </c>
      <c r="B606" s="4">
        <v>52.4</v>
      </c>
      <c r="C606" s="4">
        <v>52.4</v>
      </c>
      <c r="D606" s="5">
        <v>0.6</v>
      </c>
      <c r="E606" s="6">
        <v>2.0000000000000001E-4</v>
      </c>
      <c r="F606" s="4">
        <v>34.43</v>
      </c>
      <c r="G606" s="4" t="str">
        <f>HYPERLINK("https://www.ncbi.nlm.nih.gov/nucleotide/XM_002484164.1?report=genbank&amp;log$=nucltop&amp;blast_rank=92&amp;RID=29VYGZG1013","XM_002484164.1")</f>
        <v>XM_002484164.1</v>
      </c>
    </row>
    <row r="607" spans="1:7" x14ac:dyDescent="0.35">
      <c r="A607" t="s">
        <v>613</v>
      </c>
      <c r="B607">
        <v>52</v>
      </c>
      <c r="C607">
        <v>52</v>
      </c>
      <c r="D607" s="2">
        <v>0.55000000000000004</v>
      </c>
      <c r="E607" s="3">
        <v>2.9999999999999997E-4</v>
      </c>
      <c r="F607">
        <v>34.43</v>
      </c>
      <c r="G607" t="str">
        <f>HYPERLINK("https://www.ncbi.nlm.nih.gov/nucleotide/XM_014096997.1?report=genbank&amp;log$=nucltop&amp;blast_rank=93&amp;RID=29VYGZG1013","XM_014096997.1")</f>
        <v>XM_014096997.1</v>
      </c>
    </row>
    <row r="608" spans="1:7" x14ac:dyDescent="0.35">
      <c r="A608" t="s">
        <v>177</v>
      </c>
      <c r="B608">
        <v>52</v>
      </c>
      <c r="C608">
        <v>52</v>
      </c>
      <c r="D608" s="2">
        <v>0.74</v>
      </c>
      <c r="E608" s="3">
        <v>2.0000000000000001E-4</v>
      </c>
      <c r="F608">
        <v>34.380000000000003</v>
      </c>
      <c r="G608" t="str">
        <f>HYPERLINK("https://www.ncbi.nlm.nih.gov/nucleotide/XM_007768115.1?report=genbank&amp;log$=nucltop&amp;blast_rank=94&amp;RID=29VYGZG1013","XM_007768115.1")</f>
        <v>XM_007768115.1</v>
      </c>
    </row>
    <row r="609" spans="1:7" x14ac:dyDescent="0.35">
      <c r="A609" t="s">
        <v>973</v>
      </c>
      <c r="B609">
        <v>70.099999999999994</v>
      </c>
      <c r="C609">
        <v>70.099999999999994</v>
      </c>
      <c r="D609" s="2">
        <v>0.7</v>
      </c>
      <c r="E609" s="3">
        <v>3E-10</v>
      </c>
      <c r="F609">
        <v>33.78</v>
      </c>
      <c r="G609" t="str">
        <f>HYPERLINK("https://www.ncbi.nlm.nih.gov/nucleotide/XM_029906584.1?report=genbank&amp;log$=nucltop&amp;blast_rank=95&amp;RID=29VYGZG1013","XM_029906584.1")</f>
        <v>XM_029906584.1</v>
      </c>
    </row>
    <row r="610" spans="1:7" x14ac:dyDescent="0.35">
      <c r="A610" t="s">
        <v>254</v>
      </c>
      <c r="B610">
        <v>69.7</v>
      </c>
      <c r="C610">
        <v>69.7</v>
      </c>
      <c r="D610" s="2">
        <v>0.67</v>
      </c>
      <c r="E610" s="3">
        <v>3E-11</v>
      </c>
      <c r="F610">
        <v>33.57</v>
      </c>
      <c r="G610" t="str">
        <f>HYPERLINK("https://www.ncbi.nlm.nih.gov/nucleotide/XM_018274774.1?report=genbank&amp;log$=nucltop&amp;blast_rank=96&amp;RID=29VYGZG1013","XM_018274774.1")</f>
        <v>XM_018274774.1</v>
      </c>
    </row>
    <row r="611" spans="1:7" x14ac:dyDescent="0.35">
      <c r="A611" s="4" t="s">
        <v>611</v>
      </c>
      <c r="B611" s="4">
        <v>51.2</v>
      </c>
      <c r="C611" s="4">
        <v>51.2</v>
      </c>
      <c r="D611" s="5">
        <v>0.73</v>
      </c>
      <c r="E611" s="6">
        <v>4.0000000000000002E-4</v>
      </c>
      <c r="F611" s="4">
        <v>32.909999999999997</v>
      </c>
      <c r="G611" s="4" t="str">
        <f>HYPERLINK("https://www.ncbi.nlm.nih.gov/nucleotide/XM_018221897.1?report=genbank&amp;log$=nucltop&amp;blast_rank=97&amp;RID=29VYGZG1013","XM_018221897.1")</f>
        <v>XM_018221897.1</v>
      </c>
    </row>
    <row r="612" spans="1:7" x14ac:dyDescent="0.35">
      <c r="A612" t="s">
        <v>628</v>
      </c>
      <c r="B612">
        <v>52</v>
      </c>
      <c r="C612">
        <v>52</v>
      </c>
      <c r="D612" s="2">
        <v>0.67</v>
      </c>
      <c r="E612" s="3">
        <v>1E-4</v>
      </c>
      <c r="F612">
        <v>30.77</v>
      </c>
      <c r="G612" t="str">
        <f>HYPERLINK("https://www.ncbi.nlm.nih.gov/nucleotide/XM_013469976.1?report=genbank&amp;log$=nucltop&amp;blast_rank=98&amp;RID=29VYGZG1013","XM_013469976.1")</f>
        <v>XM_013469976.1</v>
      </c>
    </row>
    <row r="613" spans="1:7" x14ac:dyDescent="0.35">
      <c r="A613" t="s">
        <v>574</v>
      </c>
      <c r="B613">
        <v>99</v>
      </c>
      <c r="C613">
        <v>135</v>
      </c>
      <c r="D613" s="2">
        <v>0.89</v>
      </c>
      <c r="E613" s="3">
        <v>2.0000000000000001E-22</v>
      </c>
      <c r="F613">
        <v>30.34</v>
      </c>
      <c r="G613" t="str">
        <f>HYPERLINK("https://www.ncbi.nlm.nih.gov/nucleotide/LR732081.1?report=genbank&amp;log$=nucltop&amp;blast_rank=99&amp;RID=29VYGZG1013","LR732081.1")</f>
        <v>LR732081.1</v>
      </c>
    </row>
    <row r="614" spans="1:7" x14ac:dyDescent="0.35">
      <c r="A614" t="s">
        <v>633</v>
      </c>
      <c r="B614">
        <v>57</v>
      </c>
      <c r="C614">
        <v>57</v>
      </c>
      <c r="D614" s="2">
        <v>0.73</v>
      </c>
      <c r="E614" s="3">
        <v>1.0000000000000001E-5</v>
      </c>
      <c r="F614">
        <v>29.76</v>
      </c>
      <c r="G614" t="str">
        <f>HYPERLINK("https://www.ncbi.nlm.nih.gov/nucleotide/XM_025520457.1?report=genbank&amp;log$=nucltop&amp;blast_rank=100&amp;RID=29VYGZG1013","XM_025520457.1")</f>
        <v>XM_025520457.1</v>
      </c>
    </row>
    <row r="615" spans="1:7" x14ac:dyDescent="0.35">
      <c r="A615" s="1" t="s">
        <v>1393</v>
      </c>
    </row>
    <row r="616" spans="1:7" x14ac:dyDescent="0.35">
      <c r="A616" s="1" t="s">
        <v>2</v>
      </c>
      <c r="B616" s="1" t="s">
        <v>3</v>
      </c>
      <c r="C616" s="1" t="s">
        <v>4</v>
      </c>
      <c r="D616" s="1" t="s">
        <v>5</v>
      </c>
      <c r="E616" s="1" t="s">
        <v>6</v>
      </c>
      <c r="F616" s="1" t="s">
        <v>7</v>
      </c>
      <c r="G616" s="1" t="s">
        <v>8</v>
      </c>
    </row>
    <row r="617" spans="1:7" x14ac:dyDescent="0.35">
      <c r="A617" t="s">
        <v>37</v>
      </c>
      <c r="B617">
        <v>155</v>
      </c>
      <c r="C617">
        <v>275</v>
      </c>
      <c r="D617" s="2">
        <v>0.89</v>
      </c>
      <c r="E617" s="3">
        <v>5.0000000000000003E-64</v>
      </c>
      <c r="F617">
        <v>65.38</v>
      </c>
      <c r="G617" t="str">
        <f>HYPERLINK("https://www.ncbi.nlm.nih.gov/nucleotide/LR732085.1?report=genbank&amp;log$=nucltop&amp;blast_rank=1&amp;RID=29W0CYKG013","LR732085.1")</f>
        <v>LR732085.1</v>
      </c>
    </row>
    <row r="618" spans="1:7" x14ac:dyDescent="0.35">
      <c r="A618" t="s">
        <v>405</v>
      </c>
      <c r="B618">
        <v>84.3</v>
      </c>
      <c r="C618">
        <v>84.3</v>
      </c>
      <c r="D618" s="2">
        <v>0.39</v>
      </c>
      <c r="E618" s="3">
        <v>7.0000000000000001E-15</v>
      </c>
      <c r="F618">
        <v>54.65</v>
      </c>
      <c r="G618" t="str">
        <f>HYPERLINK("https://www.ncbi.nlm.nih.gov/nucleotide/CP019382.1?report=genbank&amp;log$=nucltop&amp;blast_rank=2&amp;RID=29W0CYKG013","CP019382.1")</f>
        <v>CP019382.1</v>
      </c>
    </row>
    <row r="619" spans="1:7" x14ac:dyDescent="0.35">
      <c r="A619" t="s">
        <v>381</v>
      </c>
      <c r="B619">
        <v>60.5</v>
      </c>
      <c r="C619">
        <v>60.5</v>
      </c>
      <c r="D619" s="2">
        <v>0.32</v>
      </c>
      <c r="E619" s="3">
        <v>9.9999999999999995E-7</v>
      </c>
      <c r="F619">
        <v>51.52</v>
      </c>
      <c r="G619" t="str">
        <f>HYPERLINK("https://www.ncbi.nlm.nih.gov/nucleotide/CP068008.1?report=genbank&amp;log$=nucltop&amp;blast_rank=3&amp;RID=29W0CYKG013","CP068008.1")</f>
        <v>CP068008.1</v>
      </c>
    </row>
    <row r="620" spans="1:7" x14ac:dyDescent="0.35">
      <c r="A620" t="s">
        <v>385</v>
      </c>
      <c r="B620">
        <v>64.7</v>
      </c>
      <c r="C620">
        <v>64.7</v>
      </c>
      <c r="D620" s="2">
        <v>0.33</v>
      </c>
      <c r="E620" s="3">
        <v>4.0000000000000001E-8</v>
      </c>
      <c r="F620">
        <v>50</v>
      </c>
      <c r="G620" t="str">
        <f>HYPERLINK("https://www.ncbi.nlm.nih.gov/nucleotide/CP015468.1?report=genbank&amp;log$=nucltop&amp;blast_rank=4&amp;RID=29W0CYKG013","CP015468.1")</f>
        <v>CP015468.1</v>
      </c>
    </row>
    <row r="621" spans="1:7" x14ac:dyDescent="0.35">
      <c r="A621" s="4" t="s">
        <v>494</v>
      </c>
      <c r="B621" s="4">
        <v>70.099999999999994</v>
      </c>
      <c r="C621" s="4">
        <v>70.099999999999994</v>
      </c>
      <c r="D621" s="5">
        <v>0.38</v>
      </c>
      <c r="E621" s="6">
        <v>4.0000000000000001E-10</v>
      </c>
      <c r="F621" s="4">
        <v>48.75</v>
      </c>
      <c r="G621" s="4" t="str">
        <f>HYPERLINK("https://www.ncbi.nlm.nih.gov/nucleotide/XM_001835028.2?report=genbank&amp;log$=nucltop&amp;blast_rank=5&amp;RID=29W0CYKG013","XM_001835028.2")</f>
        <v>XM_001835028.2</v>
      </c>
    </row>
    <row r="622" spans="1:7" x14ac:dyDescent="0.35">
      <c r="A622" t="s">
        <v>382</v>
      </c>
      <c r="B622">
        <v>65.099999999999994</v>
      </c>
      <c r="C622">
        <v>65.099999999999994</v>
      </c>
      <c r="D622" s="2">
        <v>0.33</v>
      </c>
      <c r="E622" s="3">
        <v>2.9999999999999997E-8</v>
      </c>
      <c r="F622">
        <v>48.57</v>
      </c>
      <c r="G622" t="str">
        <f>HYPERLINK("https://www.ncbi.nlm.nih.gov/nucleotide/CP039884.1?report=genbank&amp;log$=nucltop&amp;blast_rank=6&amp;RID=29W0CYKG013","CP039884.1")</f>
        <v>CP039884.1</v>
      </c>
    </row>
    <row r="623" spans="1:7" x14ac:dyDescent="0.35">
      <c r="A623" t="s">
        <v>383</v>
      </c>
      <c r="B623">
        <v>65.099999999999994</v>
      </c>
      <c r="C623">
        <v>65.099999999999994</v>
      </c>
      <c r="D623" s="2">
        <v>0.33</v>
      </c>
      <c r="E623" s="3">
        <v>2.9999999999999997E-8</v>
      </c>
      <c r="F623">
        <v>48.57</v>
      </c>
      <c r="G623" t="str">
        <f>HYPERLINK("https://www.ncbi.nlm.nih.gov/nucleotide/CP015481.1?report=genbank&amp;log$=nucltop&amp;blast_rank=7&amp;RID=29W0CYKG013","CP015481.1")</f>
        <v>CP015481.1</v>
      </c>
    </row>
    <row r="624" spans="1:7" x14ac:dyDescent="0.35">
      <c r="A624" t="s">
        <v>495</v>
      </c>
      <c r="B624">
        <v>62</v>
      </c>
      <c r="C624">
        <v>62</v>
      </c>
      <c r="D624" s="2">
        <v>0.38</v>
      </c>
      <c r="E624" s="3">
        <v>9.9999999999999995E-8</v>
      </c>
      <c r="F624">
        <v>43.75</v>
      </c>
      <c r="G624" t="str">
        <f>HYPERLINK("https://www.ncbi.nlm.nih.gov/nucleotide/XM_768845.1?report=genbank&amp;log$=nucltop&amp;blast_rank=8&amp;RID=29W0CYKG013","XM_768845.1")</f>
        <v>XM_768845.1</v>
      </c>
    </row>
    <row r="625" spans="1:7" x14ac:dyDescent="0.35">
      <c r="A625" t="s">
        <v>496</v>
      </c>
      <c r="B625">
        <v>62.4</v>
      </c>
      <c r="C625">
        <v>62.4</v>
      </c>
      <c r="D625" s="2">
        <v>0.38</v>
      </c>
      <c r="E625" s="3">
        <v>9.9999999999999995E-8</v>
      </c>
      <c r="F625">
        <v>43.75</v>
      </c>
      <c r="G625" t="str">
        <f>HYPERLINK("https://www.ncbi.nlm.nih.gov/nucleotide/XM_024657893.1?report=genbank&amp;log$=nucltop&amp;blast_rank=9&amp;RID=29W0CYKG013","XM_024657893.1")</f>
        <v>XM_024657893.1</v>
      </c>
    </row>
    <row r="626" spans="1:7" x14ac:dyDescent="0.35">
      <c r="A626" s="4" t="s">
        <v>504</v>
      </c>
      <c r="B626" s="4">
        <v>52.4</v>
      </c>
      <c r="C626" s="4">
        <v>52.4</v>
      </c>
      <c r="D626" s="5">
        <v>0.31</v>
      </c>
      <c r="E626" s="6">
        <v>2.9999999999999997E-4</v>
      </c>
      <c r="F626" s="4">
        <v>43.75</v>
      </c>
      <c r="G626" s="4" t="str">
        <f>HYPERLINK("https://www.ncbi.nlm.nih.gov/nucleotide/XM_008098815.1?report=genbank&amp;log$=nucltop&amp;blast_rank=10&amp;RID=29W0CYKG013","XM_008098815.1")</f>
        <v>XM_008098815.1</v>
      </c>
    </row>
    <row r="627" spans="1:7" x14ac:dyDescent="0.35">
      <c r="A627" s="4" t="s">
        <v>505</v>
      </c>
      <c r="B627" s="4">
        <v>52</v>
      </c>
      <c r="C627" s="4">
        <v>52</v>
      </c>
      <c r="D627" s="5">
        <v>0.31</v>
      </c>
      <c r="E627" s="6">
        <v>5.0000000000000001E-4</v>
      </c>
      <c r="F627" s="4">
        <v>43.75</v>
      </c>
      <c r="G627" s="4" t="str">
        <f>HYPERLINK("https://www.ncbi.nlm.nih.gov/nucleotide/XM_018307603.1?report=genbank&amp;log$=nucltop&amp;blast_rank=11&amp;RID=29W0CYKG013","XM_018307603.1")</f>
        <v>XM_018307603.1</v>
      </c>
    </row>
    <row r="628" spans="1:7" x14ac:dyDescent="0.35">
      <c r="A628" s="4" t="s">
        <v>506</v>
      </c>
      <c r="B628" s="4">
        <v>52</v>
      </c>
      <c r="C628" s="4">
        <v>52</v>
      </c>
      <c r="D628" s="5">
        <v>0.31</v>
      </c>
      <c r="E628" s="6">
        <v>5.9999999999999995E-4</v>
      </c>
      <c r="F628" s="4">
        <v>43.75</v>
      </c>
      <c r="G628" s="4" t="str">
        <f>HYPERLINK("https://www.ncbi.nlm.nih.gov/nucleotide/XM_038886705.1?report=genbank&amp;log$=nucltop&amp;blast_rank=12&amp;RID=29W0CYKG013","XM_038886705.1")</f>
        <v>XM_038886705.1</v>
      </c>
    </row>
    <row r="629" spans="1:7" x14ac:dyDescent="0.35">
      <c r="A629" s="4" t="s">
        <v>507</v>
      </c>
      <c r="B629" s="4">
        <v>51.6</v>
      </c>
      <c r="C629" s="4">
        <v>51.6</v>
      </c>
      <c r="D629" s="5">
        <v>0.31</v>
      </c>
      <c r="E629" s="4">
        <v>1E-3</v>
      </c>
      <c r="F629" s="4">
        <v>43.75</v>
      </c>
      <c r="G629" s="4" t="str">
        <f>HYPERLINK("https://www.ncbi.nlm.nih.gov/nucleotide/XM_036723993.1?report=genbank&amp;log$=nucltop&amp;blast_rank=13&amp;RID=29W0CYKG013","XM_036723993.1")</f>
        <v>XM_036723993.1</v>
      </c>
    </row>
    <row r="630" spans="1:7" x14ac:dyDescent="0.35">
      <c r="A630" t="s">
        <v>499</v>
      </c>
      <c r="B630">
        <v>60.5</v>
      </c>
      <c r="C630">
        <v>60.5</v>
      </c>
      <c r="D630" s="2">
        <v>0.38</v>
      </c>
      <c r="E630" s="3">
        <v>5.9999999999999997E-7</v>
      </c>
      <c r="F630">
        <v>42.5</v>
      </c>
      <c r="G630" t="str">
        <f>HYPERLINK("https://www.ncbi.nlm.nih.gov/nucleotide/XM_012196313.1?report=genbank&amp;log$=nucltop&amp;blast_rank=14&amp;RID=29W0CYKG013","XM_012196313.1")</f>
        <v>XM_012196313.1</v>
      </c>
    </row>
    <row r="631" spans="1:7" x14ac:dyDescent="0.35">
      <c r="A631" t="s">
        <v>523</v>
      </c>
      <c r="B631">
        <v>50.4</v>
      </c>
      <c r="C631">
        <v>50.4</v>
      </c>
      <c r="D631" s="2">
        <v>0.31</v>
      </c>
      <c r="E631">
        <v>2E-3</v>
      </c>
      <c r="F631">
        <v>42.19</v>
      </c>
      <c r="G631" t="str">
        <f>HYPERLINK("https://www.ncbi.nlm.nih.gov/nucleotide/XM_037318596.1?report=genbank&amp;log$=nucltop&amp;blast_rank=15&amp;RID=29W0CYKG013","XM_037318596.1")</f>
        <v>XM_037318596.1</v>
      </c>
    </row>
    <row r="632" spans="1:7" x14ac:dyDescent="0.35">
      <c r="A632" t="s">
        <v>524</v>
      </c>
      <c r="B632">
        <v>50.4</v>
      </c>
      <c r="C632">
        <v>50.4</v>
      </c>
      <c r="D632" s="2">
        <v>0.31</v>
      </c>
      <c r="E632">
        <v>2E-3</v>
      </c>
      <c r="F632">
        <v>42.19</v>
      </c>
      <c r="G632" t="str">
        <f>HYPERLINK("https://www.ncbi.nlm.nih.gov/nucleotide/XM_036634474.1?report=genbank&amp;log$=nucltop&amp;blast_rank=16&amp;RID=29W0CYKG013","XM_036634474.1")</f>
        <v>XM_036634474.1</v>
      </c>
    </row>
    <row r="633" spans="1:7" x14ac:dyDescent="0.35">
      <c r="A633" t="s">
        <v>525</v>
      </c>
      <c r="B633">
        <v>50.1</v>
      </c>
      <c r="C633">
        <v>50.1</v>
      </c>
      <c r="D633" s="2">
        <v>0.31</v>
      </c>
      <c r="E633">
        <v>2E-3</v>
      </c>
      <c r="F633">
        <v>42.19</v>
      </c>
      <c r="G633" t="str">
        <f>HYPERLINK("https://www.ncbi.nlm.nih.gov/nucleotide/XM_032021123.1?report=genbank&amp;log$=nucltop&amp;blast_rank=17&amp;RID=29W0CYKG013","XM_032021123.1")</f>
        <v>XM_032021123.1</v>
      </c>
    </row>
    <row r="634" spans="1:7" x14ac:dyDescent="0.35">
      <c r="A634" t="s">
        <v>497</v>
      </c>
      <c r="B634">
        <v>55.8</v>
      </c>
      <c r="C634">
        <v>55.8</v>
      </c>
      <c r="D634" s="2">
        <v>0.36</v>
      </c>
      <c r="E634" s="3">
        <v>2.0000000000000002E-5</v>
      </c>
      <c r="F634">
        <v>42.11</v>
      </c>
      <c r="G634" t="str">
        <f>HYPERLINK("https://www.ncbi.nlm.nih.gov/nucleotide/XM_003195720.1?report=genbank&amp;log$=nucltop&amp;blast_rank=18&amp;RID=29W0CYKG013","XM_003195720.1")</f>
        <v>XM_003195720.1</v>
      </c>
    </row>
    <row r="635" spans="1:7" x14ac:dyDescent="0.35">
      <c r="A635" s="4" t="s">
        <v>503</v>
      </c>
      <c r="B635" s="4">
        <v>54.7</v>
      </c>
      <c r="C635" s="4">
        <v>54.7</v>
      </c>
      <c r="D635" s="5">
        <v>0.35</v>
      </c>
      <c r="E635" s="6">
        <v>6.0000000000000002E-5</v>
      </c>
      <c r="F635" s="4">
        <v>41.89</v>
      </c>
      <c r="G635" s="4" t="str">
        <f>HYPERLINK("https://www.ncbi.nlm.nih.gov/nucleotide/XM_022613792.1?report=genbank&amp;log$=nucltop&amp;blast_rank=19&amp;RID=29W0CYKG013","XM_022613792.1")</f>
        <v>XM_022613792.1</v>
      </c>
    </row>
    <row r="636" spans="1:7" x14ac:dyDescent="0.35">
      <c r="A636" s="4" t="s">
        <v>527</v>
      </c>
      <c r="B636" s="4">
        <v>112</v>
      </c>
      <c r="C636" s="4">
        <v>112</v>
      </c>
      <c r="D636" s="5">
        <v>0.9</v>
      </c>
      <c r="E636" s="6">
        <v>2.0000000000000001E-26</v>
      </c>
      <c r="F636" s="4">
        <v>40.74</v>
      </c>
      <c r="G636" s="4" t="str">
        <f>HYPERLINK("https://www.ncbi.nlm.nih.gov/nucleotide/XM_037362815.1?report=genbank&amp;log$=nucltop&amp;blast_rank=20&amp;RID=29W0CYKG013","XM_037362815.1")</f>
        <v>XM_037362815.1</v>
      </c>
    </row>
    <row r="637" spans="1:7" x14ac:dyDescent="0.35">
      <c r="A637" s="4" t="s">
        <v>514</v>
      </c>
      <c r="B637" s="4">
        <v>53.1</v>
      </c>
      <c r="C637" s="4">
        <v>53.1</v>
      </c>
      <c r="D637" s="5">
        <v>0.35</v>
      </c>
      <c r="E637" s="6">
        <v>2.0000000000000001E-4</v>
      </c>
      <c r="F637" s="4">
        <v>40.54</v>
      </c>
      <c r="G637" s="4" t="str">
        <f>HYPERLINK("https://www.ncbi.nlm.nih.gov/nucleotide/XM_035473314.1?report=genbank&amp;log$=nucltop&amp;blast_rank=21&amp;RID=29W0CYKG013","XM_035473314.1")</f>
        <v>XM_035473314.1</v>
      </c>
    </row>
    <row r="638" spans="1:7" x14ac:dyDescent="0.35">
      <c r="A638" t="s">
        <v>531</v>
      </c>
      <c r="B638">
        <v>110</v>
      </c>
      <c r="C638">
        <v>110</v>
      </c>
      <c r="D638" s="2">
        <v>0.84</v>
      </c>
      <c r="E638" s="3">
        <v>8.0000000000000003E-26</v>
      </c>
      <c r="F638">
        <v>40</v>
      </c>
      <c r="G638" t="str">
        <f>HYPERLINK("https://www.ncbi.nlm.nih.gov/nucleotide/XM_003026747.1?report=genbank&amp;log$=nucltop&amp;blast_rank=22&amp;RID=29W0CYKG013","XM_003026747.1")</f>
        <v>XM_003026747.1</v>
      </c>
    </row>
    <row r="639" spans="1:7" x14ac:dyDescent="0.35">
      <c r="A639" t="s">
        <v>529</v>
      </c>
      <c r="B639">
        <v>59.7</v>
      </c>
      <c r="C639">
        <v>59.7</v>
      </c>
      <c r="D639" s="2">
        <v>0.38</v>
      </c>
      <c r="E639" s="3">
        <v>9.9999999999999995E-7</v>
      </c>
      <c r="F639">
        <v>40</v>
      </c>
      <c r="G639" t="str">
        <f>HYPERLINK("https://www.ncbi.nlm.nih.gov/nucleotide/XM_028618410.1?report=genbank&amp;log$=nucltop&amp;blast_rank=23&amp;RID=29W0CYKG013","XM_028618410.1")</f>
        <v>XM_028618410.1</v>
      </c>
    </row>
    <row r="640" spans="1:7" x14ac:dyDescent="0.35">
      <c r="A640" t="s">
        <v>530</v>
      </c>
      <c r="B640">
        <v>50.1</v>
      </c>
      <c r="C640">
        <v>50.1</v>
      </c>
      <c r="D640" s="2">
        <v>0.38</v>
      </c>
      <c r="E640">
        <v>3.0000000000000001E-3</v>
      </c>
      <c r="F640">
        <v>40</v>
      </c>
      <c r="G640" t="str">
        <f>HYPERLINK("https://www.ncbi.nlm.nih.gov/nucleotide/XM_025504909.1?report=genbank&amp;log$=nucltop&amp;blast_rank=24&amp;RID=29W0CYKG013","XM_025504909.1")</f>
        <v>XM_025504909.1</v>
      </c>
    </row>
    <row r="641" spans="1:7" x14ac:dyDescent="0.35">
      <c r="A641" t="s">
        <v>519</v>
      </c>
      <c r="B641">
        <v>48.9</v>
      </c>
      <c r="C641">
        <v>48.9</v>
      </c>
      <c r="D641" s="2">
        <v>0.34</v>
      </c>
      <c r="E641">
        <v>2E-3</v>
      </c>
      <c r="F641">
        <v>39.44</v>
      </c>
      <c r="G641" t="str">
        <f>HYPERLINK("https://www.ncbi.nlm.nih.gov/nucleotide/XM_029884616.1?report=genbank&amp;log$=nucltop&amp;blast_rank=25&amp;RID=29W0CYKG013","XM_029884616.1")</f>
        <v>XM_029884616.1</v>
      </c>
    </row>
    <row r="642" spans="1:7" x14ac:dyDescent="0.35">
      <c r="A642" t="s">
        <v>533</v>
      </c>
      <c r="B642">
        <v>59.3</v>
      </c>
      <c r="C642">
        <v>59.3</v>
      </c>
      <c r="D642" s="2">
        <v>0.38</v>
      </c>
      <c r="E642" s="3">
        <v>1.9999999999999999E-6</v>
      </c>
      <c r="F642">
        <v>39.24</v>
      </c>
      <c r="G642" t="str">
        <f>HYPERLINK("https://www.ncbi.nlm.nih.gov/nucleotide/XM_031996610.1?report=genbank&amp;log$=nucltop&amp;blast_rank=26&amp;RID=29W0CYKG013","XM_031996610.1")</f>
        <v>XM_031996610.1</v>
      </c>
    </row>
    <row r="643" spans="1:7" x14ac:dyDescent="0.35">
      <c r="A643" t="s">
        <v>544</v>
      </c>
      <c r="B643">
        <v>103</v>
      </c>
      <c r="C643">
        <v>103</v>
      </c>
      <c r="D643" s="2">
        <v>0.85</v>
      </c>
      <c r="E643" s="3">
        <v>1E-22</v>
      </c>
      <c r="F643">
        <v>39.15</v>
      </c>
      <c r="G643" t="str">
        <f>HYPERLINK("https://www.ncbi.nlm.nih.gov/nucleotide/XM_007387247.1?report=genbank&amp;log$=nucltop&amp;blast_rank=27&amp;RID=29W0CYKG013","XM_007387247.1")</f>
        <v>XM_007387247.1</v>
      </c>
    </row>
    <row r="644" spans="1:7" x14ac:dyDescent="0.35">
      <c r="A644" t="s">
        <v>528</v>
      </c>
      <c r="B644">
        <v>47.4</v>
      </c>
      <c r="C644">
        <v>47.4</v>
      </c>
      <c r="D644" s="2">
        <v>0.34</v>
      </c>
      <c r="E644">
        <v>0.02</v>
      </c>
      <c r="F644">
        <v>38.89</v>
      </c>
      <c r="G644" t="str">
        <f>HYPERLINK("https://www.ncbi.nlm.nih.gov/nucleotide/XM_018422622.1?report=genbank&amp;log$=nucltop&amp;blast_rank=28&amp;RID=29W0CYKG013","XM_018422622.1")</f>
        <v>XM_018422622.1</v>
      </c>
    </row>
    <row r="645" spans="1:7" x14ac:dyDescent="0.35">
      <c r="A645" t="s">
        <v>109</v>
      </c>
      <c r="B645">
        <v>95.1</v>
      </c>
      <c r="C645">
        <v>95.1</v>
      </c>
      <c r="D645" s="2">
        <v>0.9</v>
      </c>
      <c r="E645" s="3">
        <v>9.9999999999999998E-20</v>
      </c>
      <c r="F645">
        <v>38.81</v>
      </c>
      <c r="G645" t="str">
        <f>HYPERLINK("https://www.ncbi.nlm.nih.gov/nucleotide/XM_007871865.1?report=genbank&amp;log$=nucltop&amp;blast_rank=29&amp;RID=29W0CYKG013","XM_007871865.1")</f>
        <v>XM_007871865.1</v>
      </c>
    </row>
    <row r="646" spans="1:7" x14ac:dyDescent="0.35">
      <c r="A646" s="4" t="s">
        <v>535</v>
      </c>
      <c r="B646" s="4">
        <v>51.6</v>
      </c>
      <c r="C646" s="4">
        <v>51.6</v>
      </c>
      <c r="D646" s="5">
        <v>0.36</v>
      </c>
      <c r="E646" s="6">
        <v>5.0000000000000001E-4</v>
      </c>
      <c r="F646" s="4">
        <v>38.67</v>
      </c>
      <c r="G646" s="4" t="str">
        <f>HYPERLINK("https://www.ncbi.nlm.nih.gov/nucleotide/XM_014690294.1?report=genbank&amp;log$=nucltop&amp;blast_rank=30&amp;RID=29W0CYKG013","XM_014690294.1")</f>
        <v>XM_014690294.1</v>
      </c>
    </row>
    <row r="647" spans="1:7" x14ac:dyDescent="0.35">
      <c r="A647" t="s">
        <v>536</v>
      </c>
      <c r="B647">
        <v>52.4</v>
      </c>
      <c r="C647">
        <v>52.4</v>
      </c>
      <c r="D647" s="2">
        <v>0.36</v>
      </c>
      <c r="E647" s="3">
        <v>6.9999999999999999E-4</v>
      </c>
      <c r="F647">
        <v>38.67</v>
      </c>
      <c r="G647" t="str">
        <f>HYPERLINK("https://www.ncbi.nlm.nih.gov/nucleotide/CP058935.1?report=genbank&amp;log$=nucltop&amp;blast_rank=31&amp;RID=29W0CYKG013","CP058935.1")</f>
        <v>CP058935.1</v>
      </c>
    </row>
    <row r="648" spans="1:7" x14ac:dyDescent="0.35">
      <c r="A648" s="4" t="s">
        <v>539</v>
      </c>
      <c r="B648" s="4">
        <v>50.8</v>
      </c>
      <c r="C648" s="4">
        <v>50.8</v>
      </c>
      <c r="D648" s="5">
        <v>0.36</v>
      </c>
      <c r="E648" s="6">
        <v>8.9999999999999998E-4</v>
      </c>
      <c r="F648" s="4">
        <v>38.67</v>
      </c>
      <c r="G648" s="4" t="str">
        <f>HYPERLINK("https://www.ncbi.nlm.nih.gov/nucleotide/XM_007820685.2?report=genbank&amp;log$=nucltop&amp;blast_rank=32&amp;RID=29W0CYKG013","XM_007820685.2")</f>
        <v>XM_007820685.2</v>
      </c>
    </row>
    <row r="649" spans="1:7" x14ac:dyDescent="0.35">
      <c r="A649" t="s">
        <v>540</v>
      </c>
      <c r="B649">
        <v>48.5</v>
      </c>
      <c r="C649">
        <v>48.5</v>
      </c>
      <c r="D649" s="2">
        <v>0.36</v>
      </c>
      <c r="E649">
        <v>1.0999999999999999E-2</v>
      </c>
      <c r="F649">
        <v>38.67</v>
      </c>
      <c r="G649" t="str">
        <f>HYPERLINK("https://www.ncbi.nlm.nih.gov/nucleotide/CP031388.1?report=genbank&amp;log$=nucltop&amp;blast_rank=33&amp;RID=29W0CYKG013","CP031388.1")</f>
        <v>CP031388.1</v>
      </c>
    </row>
    <row r="650" spans="1:7" x14ac:dyDescent="0.35">
      <c r="A650" t="s">
        <v>1369</v>
      </c>
      <c r="B650">
        <v>48.1</v>
      </c>
      <c r="C650">
        <v>48.1</v>
      </c>
      <c r="D650" s="2">
        <v>0.36</v>
      </c>
      <c r="E650">
        <v>1.4999999999999999E-2</v>
      </c>
      <c r="F650">
        <v>38.67</v>
      </c>
      <c r="G650" t="str">
        <f>HYPERLINK("https://www.ncbi.nlm.nih.gov/nucleotide/CP049925.1?report=genbank&amp;log$=nucltop&amp;blast_rank=34&amp;RID=29W0CYKG013","CP049925.1")</f>
        <v>CP049925.1</v>
      </c>
    </row>
    <row r="651" spans="1:7" x14ac:dyDescent="0.35">
      <c r="A651" t="s">
        <v>498</v>
      </c>
      <c r="B651">
        <v>51.2</v>
      </c>
      <c r="C651">
        <v>51.2</v>
      </c>
      <c r="D651" s="2">
        <v>0.36</v>
      </c>
      <c r="E651" s="3">
        <v>2.9999999999999997E-4</v>
      </c>
      <c r="F651">
        <v>38.159999999999997</v>
      </c>
      <c r="G651" t="str">
        <f>HYPERLINK("https://www.ncbi.nlm.nih.gov/nucleotide/XM_007413685.1?report=genbank&amp;log$=nucltop&amp;blast_rank=35&amp;RID=29W0CYKG013","XM_007413685.1")</f>
        <v>XM_007413685.1</v>
      </c>
    </row>
    <row r="652" spans="1:7" x14ac:dyDescent="0.35">
      <c r="A652" t="s">
        <v>534</v>
      </c>
      <c r="B652">
        <v>101</v>
      </c>
      <c r="C652">
        <v>101</v>
      </c>
      <c r="D652" s="2">
        <v>0.82</v>
      </c>
      <c r="E652" s="3">
        <v>2.9999999999999999E-22</v>
      </c>
      <c r="F652">
        <v>37.74</v>
      </c>
      <c r="G652" t="str">
        <f>HYPERLINK("https://www.ncbi.nlm.nih.gov/nucleotide/XM_006456006.1?report=genbank&amp;log$=nucltop&amp;blast_rank=36&amp;RID=29W0CYKG013","XM_006456006.1")</f>
        <v>XM_006456006.1</v>
      </c>
    </row>
    <row r="653" spans="1:7" x14ac:dyDescent="0.35">
      <c r="A653" t="s">
        <v>546</v>
      </c>
      <c r="B653">
        <v>60.5</v>
      </c>
      <c r="C653">
        <v>60.5</v>
      </c>
      <c r="D653" s="2">
        <v>0.41</v>
      </c>
      <c r="E653" s="3">
        <v>3.9999999999999998E-7</v>
      </c>
      <c r="F653">
        <v>37.65</v>
      </c>
      <c r="G653" t="str">
        <f>HYPERLINK("https://www.ncbi.nlm.nih.gov/nucleotide/XM_018878767.1?report=genbank&amp;log$=nucltop&amp;blast_rank=37&amp;RID=29W0CYKG013","XM_018878767.1")</f>
        <v>XM_018878767.1</v>
      </c>
    </row>
    <row r="654" spans="1:7" x14ac:dyDescent="0.35">
      <c r="A654" t="s">
        <v>547</v>
      </c>
      <c r="B654">
        <v>60.5</v>
      </c>
      <c r="C654">
        <v>60.5</v>
      </c>
      <c r="D654" s="2">
        <v>0.41</v>
      </c>
      <c r="E654" s="3">
        <v>9.9999999999999995E-7</v>
      </c>
      <c r="F654">
        <v>37.65</v>
      </c>
      <c r="G654" t="str">
        <f>HYPERLINK("https://www.ncbi.nlm.nih.gov/nucleotide/CP014501.1?report=genbank&amp;log$=nucltop&amp;blast_rank=38&amp;RID=29W0CYKG013","CP014501.1")</f>
        <v>CP014501.1</v>
      </c>
    </row>
    <row r="655" spans="1:7" x14ac:dyDescent="0.35">
      <c r="A655" s="4" t="s">
        <v>545</v>
      </c>
      <c r="B655" s="4">
        <v>49.7</v>
      </c>
      <c r="C655" s="4">
        <v>49.7</v>
      </c>
      <c r="D655" s="5">
        <v>0.36</v>
      </c>
      <c r="E655" s="4">
        <v>2E-3</v>
      </c>
      <c r="F655" s="4">
        <v>37.33</v>
      </c>
      <c r="G655" s="4" t="str">
        <f>HYPERLINK("https://www.ncbi.nlm.nih.gov/nucleotide/XM_007816901.1?report=genbank&amp;log$=nucltop&amp;blast_rank=39&amp;RID=29W0CYKG013","XM_007816901.1")</f>
        <v>XM_007816901.1</v>
      </c>
    </row>
    <row r="656" spans="1:7" x14ac:dyDescent="0.35">
      <c r="A656" t="s">
        <v>541</v>
      </c>
      <c r="B656">
        <v>100</v>
      </c>
      <c r="C656">
        <v>100</v>
      </c>
      <c r="D656" s="2">
        <v>0.82</v>
      </c>
      <c r="E656" s="3">
        <v>1.9999999999999999E-20</v>
      </c>
      <c r="F656">
        <v>37.21</v>
      </c>
      <c r="G656" t="str">
        <f>HYPERLINK("https://www.ncbi.nlm.nih.gov/nucleotide/XM_007331837.1?report=genbank&amp;log$=nucltop&amp;blast_rank=40&amp;RID=29W0CYKG013","XM_007331837.1")</f>
        <v>XM_007331837.1</v>
      </c>
    </row>
    <row r="657" spans="1:7" x14ac:dyDescent="0.35">
      <c r="A657" s="4" t="s">
        <v>548</v>
      </c>
      <c r="B657" s="4">
        <v>93.2</v>
      </c>
      <c r="C657" s="4">
        <v>93.2</v>
      </c>
      <c r="D657" s="5">
        <v>0.9</v>
      </c>
      <c r="E657" s="6">
        <v>2E-19</v>
      </c>
      <c r="F657" s="4">
        <v>37.159999999999997</v>
      </c>
      <c r="G657" s="4" t="str">
        <f>HYPERLINK("https://www.ncbi.nlm.nih.gov/nucleotide/LR724312.1?report=genbank&amp;log$=nucltop&amp;blast_rank=41&amp;RID=29W0CYKG013","LR724312.1")</f>
        <v>LR724312.1</v>
      </c>
    </row>
    <row r="658" spans="1:7" x14ac:dyDescent="0.35">
      <c r="A658" s="4" t="s">
        <v>520</v>
      </c>
      <c r="B658" s="4">
        <v>46.2</v>
      </c>
      <c r="C658" s="4">
        <v>46.2</v>
      </c>
      <c r="D658" s="5">
        <v>0.31</v>
      </c>
      <c r="E658" s="4">
        <v>4.5999999999999999E-2</v>
      </c>
      <c r="F658" s="4">
        <v>36.92</v>
      </c>
      <c r="G658" s="4" t="str">
        <f>HYPERLINK("https://www.ncbi.nlm.nih.gov/nucleotide/XM_009650122.1?report=genbank&amp;log$=nucltop&amp;blast_rank=42&amp;RID=29W0CYKG013","XM_009650122.1")</f>
        <v>XM_009650122.1</v>
      </c>
    </row>
    <row r="659" spans="1:7" x14ac:dyDescent="0.35">
      <c r="A659" t="s">
        <v>521</v>
      </c>
      <c r="B659">
        <v>45.8</v>
      </c>
      <c r="C659">
        <v>45.8</v>
      </c>
      <c r="D659" s="2">
        <v>0.31</v>
      </c>
      <c r="E659">
        <v>4.9000000000000002E-2</v>
      </c>
      <c r="F659">
        <v>36.92</v>
      </c>
      <c r="G659" t="str">
        <f>HYPERLINK("https://www.ncbi.nlm.nih.gov/nucleotide/XM_028641600.1?report=genbank&amp;log$=nucltop&amp;blast_rank=43&amp;RID=29W0CYKG013","XM_028641600.1")</f>
        <v>XM_028641600.1</v>
      </c>
    </row>
    <row r="660" spans="1:7" x14ac:dyDescent="0.35">
      <c r="A660" s="4" t="s">
        <v>522</v>
      </c>
      <c r="B660" s="4">
        <v>45.8</v>
      </c>
      <c r="C660" s="4">
        <v>45.8</v>
      </c>
      <c r="D660" s="5">
        <v>0.31</v>
      </c>
      <c r="E660" s="4">
        <v>4.9000000000000002E-2</v>
      </c>
      <c r="F660" s="4">
        <v>36.92</v>
      </c>
      <c r="G660" s="4" t="str">
        <f>HYPERLINK("https://www.ncbi.nlm.nih.gov/nucleotide/XM_003006008.1?report=genbank&amp;log$=nucltop&amp;blast_rank=44&amp;RID=29W0CYKG013","XM_003006008.1")</f>
        <v>XM_003006008.1</v>
      </c>
    </row>
    <row r="661" spans="1:7" x14ac:dyDescent="0.35">
      <c r="A661" s="4" t="s">
        <v>542</v>
      </c>
      <c r="B661" s="4">
        <v>103</v>
      </c>
      <c r="C661" s="4">
        <v>103</v>
      </c>
      <c r="D661" s="5">
        <v>0.88</v>
      </c>
      <c r="E661" s="6">
        <v>7.9999999999999997E-23</v>
      </c>
      <c r="F661" s="4">
        <v>36.89</v>
      </c>
      <c r="G661" s="4" t="str">
        <f>HYPERLINK("https://www.ncbi.nlm.nih.gov/nucleotide/XM_001889471.1?report=genbank&amp;log$=nucltop&amp;blast_rank=45&amp;RID=29W0CYKG013","XM_001889471.1")</f>
        <v>XM_001889471.1</v>
      </c>
    </row>
    <row r="662" spans="1:7" x14ac:dyDescent="0.35">
      <c r="A662" t="s">
        <v>537</v>
      </c>
      <c r="B662">
        <v>51.6</v>
      </c>
      <c r="C662">
        <v>51.6</v>
      </c>
      <c r="D662" s="2">
        <v>0.36</v>
      </c>
      <c r="E662" s="3">
        <v>5.9999999999999995E-4</v>
      </c>
      <c r="F662">
        <v>36.840000000000003</v>
      </c>
      <c r="G662" t="str">
        <f>HYPERLINK("https://www.ncbi.nlm.nih.gov/nucleotide/XM_003335641.1?report=genbank&amp;log$=nucltop&amp;blast_rank=46&amp;RID=29W0CYKG013","XM_003335641.1")</f>
        <v>XM_003335641.1</v>
      </c>
    </row>
    <row r="663" spans="1:7" x14ac:dyDescent="0.35">
      <c r="A663" t="s">
        <v>538</v>
      </c>
      <c r="B663">
        <v>51.6</v>
      </c>
      <c r="C663">
        <v>51.6</v>
      </c>
      <c r="D663" s="2">
        <v>0.36</v>
      </c>
      <c r="E663" s="3">
        <v>6.9999999999999999E-4</v>
      </c>
      <c r="F663">
        <v>36.840000000000003</v>
      </c>
      <c r="G663" t="str">
        <f>HYPERLINK("https://www.ncbi.nlm.nih.gov/nucleotide/XM_003338747.2?report=genbank&amp;log$=nucltop&amp;blast_rank=47&amp;RID=29W0CYKG013","XM_003338747.2")</f>
        <v>XM_003338747.2</v>
      </c>
    </row>
    <row r="664" spans="1:7" x14ac:dyDescent="0.35">
      <c r="A664" t="s">
        <v>532</v>
      </c>
      <c r="B664">
        <v>52</v>
      </c>
      <c r="C664">
        <v>52</v>
      </c>
      <c r="D664" s="2">
        <v>0.38</v>
      </c>
      <c r="E664" s="3">
        <v>2.9999999999999997E-4</v>
      </c>
      <c r="F664">
        <v>36.71</v>
      </c>
      <c r="G664" t="str">
        <f>HYPERLINK("https://www.ncbi.nlm.nih.gov/nucleotide/XM_031169085.1?report=genbank&amp;log$=nucltop&amp;blast_rank=48&amp;RID=29W0CYKG013","XM_031169085.1")</f>
        <v>XM_031169085.1</v>
      </c>
    </row>
    <row r="665" spans="1:7" x14ac:dyDescent="0.35">
      <c r="A665" t="s">
        <v>745</v>
      </c>
      <c r="B665">
        <v>51.2</v>
      </c>
      <c r="C665">
        <v>51.2</v>
      </c>
      <c r="D665" s="2">
        <v>0.35</v>
      </c>
      <c r="E665">
        <v>1E-3</v>
      </c>
      <c r="F665">
        <v>36.49</v>
      </c>
      <c r="G665" t="str">
        <f>HYPERLINK("https://www.ncbi.nlm.nih.gov/nucleotide/XM_028910910.1?report=genbank&amp;log$=nucltop&amp;blast_rank=49&amp;RID=29W0CYKG013","XM_028910910.1")</f>
        <v>XM_028910910.1</v>
      </c>
    </row>
    <row r="666" spans="1:7" x14ac:dyDescent="0.35">
      <c r="A666" t="s">
        <v>549</v>
      </c>
      <c r="B666">
        <v>101</v>
      </c>
      <c r="C666">
        <v>101</v>
      </c>
      <c r="D666" s="2">
        <v>0.9</v>
      </c>
      <c r="E666" s="3">
        <v>2.0000000000000001E-22</v>
      </c>
      <c r="F666">
        <v>36.44</v>
      </c>
      <c r="G666" t="str">
        <f>HYPERLINK("https://www.ncbi.nlm.nih.gov/nucleotide/XM_007363302.1?report=genbank&amp;log$=nucltop&amp;blast_rank=50&amp;RID=29W0CYKG013","XM_007363302.1")</f>
        <v>XM_007363302.1</v>
      </c>
    </row>
    <row r="667" spans="1:7" x14ac:dyDescent="0.35">
      <c r="A667" t="s">
        <v>204</v>
      </c>
      <c r="B667">
        <v>109</v>
      </c>
      <c r="C667">
        <v>109</v>
      </c>
      <c r="D667" s="2">
        <v>1</v>
      </c>
      <c r="E667" s="3">
        <v>4.9999999999999996E-25</v>
      </c>
      <c r="F667">
        <v>36.25</v>
      </c>
      <c r="G667" t="str">
        <f>HYPERLINK("https://www.ncbi.nlm.nih.gov/nucleotide/XM_008043238.1?report=genbank&amp;log$=nucltop&amp;blast_rank=51&amp;RID=29W0CYKG013","XM_008043238.1")</f>
        <v>XM_008043238.1</v>
      </c>
    </row>
    <row r="668" spans="1:7" x14ac:dyDescent="0.35">
      <c r="A668" t="s">
        <v>543</v>
      </c>
      <c r="B668">
        <v>96.3</v>
      </c>
      <c r="C668">
        <v>96.3</v>
      </c>
      <c r="D668" s="2">
        <v>0.85</v>
      </c>
      <c r="E668" s="3">
        <v>1.9999999999999999E-20</v>
      </c>
      <c r="F668">
        <v>35.9</v>
      </c>
      <c r="G668" t="str">
        <f>HYPERLINK("https://www.ncbi.nlm.nih.gov/nucleotide/XM_036771613.1?report=genbank&amp;log$=nucltop&amp;blast_rank=52&amp;RID=29W0CYKG013","XM_036771613.1")</f>
        <v>XM_036771613.1</v>
      </c>
    </row>
    <row r="669" spans="1:7" x14ac:dyDescent="0.35">
      <c r="A669" t="s">
        <v>120</v>
      </c>
      <c r="B669">
        <v>111</v>
      </c>
      <c r="C669">
        <v>111</v>
      </c>
      <c r="D669" s="2">
        <v>1</v>
      </c>
      <c r="E669" s="3">
        <v>3.0000000000000001E-26</v>
      </c>
      <c r="F669">
        <v>35.770000000000003</v>
      </c>
      <c r="G669" t="str">
        <f>HYPERLINK("https://www.ncbi.nlm.nih.gov/nucleotide/XM_012328251.1?report=genbank&amp;log$=nucltop&amp;blast_rank=53&amp;RID=29W0CYKG013","XM_012328251.1")</f>
        <v>XM_012328251.1</v>
      </c>
    </row>
    <row r="670" spans="1:7" x14ac:dyDescent="0.35">
      <c r="A670" t="s">
        <v>550</v>
      </c>
      <c r="B670">
        <v>108</v>
      </c>
      <c r="C670">
        <v>108</v>
      </c>
      <c r="D670" s="2">
        <v>1</v>
      </c>
      <c r="E670" s="3">
        <v>9.9999999999999992E-25</v>
      </c>
      <c r="F670">
        <v>35.630000000000003</v>
      </c>
      <c r="G670" t="str">
        <f>HYPERLINK("https://www.ncbi.nlm.nih.gov/nucleotide/XM_024488823.1?report=genbank&amp;log$=nucltop&amp;blast_rank=54&amp;RID=29W0CYKG013","XM_024488823.1")</f>
        <v>XM_024488823.1</v>
      </c>
    </row>
    <row r="671" spans="1:7" x14ac:dyDescent="0.35">
      <c r="A671" t="s">
        <v>126</v>
      </c>
      <c r="B671">
        <v>83.2</v>
      </c>
      <c r="C671">
        <v>83.2</v>
      </c>
      <c r="D671" s="2">
        <v>0.9</v>
      </c>
      <c r="E671" s="3">
        <v>2.9999999999999998E-15</v>
      </c>
      <c r="F671">
        <v>35.61</v>
      </c>
      <c r="G671" t="str">
        <f>HYPERLINK("https://www.ncbi.nlm.nih.gov/nucleotide/XM_007776238.1?report=genbank&amp;log$=nucltop&amp;blast_rank=55&amp;RID=29W0CYKG013","XM_007776238.1")</f>
        <v>XM_007776238.1</v>
      </c>
    </row>
    <row r="672" spans="1:7" x14ac:dyDescent="0.35">
      <c r="A672" t="s">
        <v>552</v>
      </c>
      <c r="B672">
        <v>94.7</v>
      </c>
      <c r="C672">
        <v>94.7</v>
      </c>
      <c r="D672" s="2">
        <v>0.85</v>
      </c>
      <c r="E672" s="3">
        <v>3.9999999999999999E-19</v>
      </c>
      <c r="F672">
        <v>35.1</v>
      </c>
      <c r="G672" t="str">
        <f>HYPERLINK("https://www.ncbi.nlm.nih.gov/nucleotide/XM_007307010.1?report=genbank&amp;log$=nucltop&amp;blast_rank=56&amp;RID=29W0CYKG013","XM_007307010.1")</f>
        <v>XM_007307010.1</v>
      </c>
    </row>
    <row r="673" spans="1:7" x14ac:dyDescent="0.35">
      <c r="A673" t="s">
        <v>553</v>
      </c>
      <c r="B673">
        <v>95.9</v>
      </c>
      <c r="C673">
        <v>95.9</v>
      </c>
      <c r="D673" s="2">
        <v>1</v>
      </c>
      <c r="E673" s="3">
        <v>3.0000000000000003E-20</v>
      </c>
      <c r="F673">
        <v>34.96</v>
      </c>
      <c r="G673" t="str">
        <f>HYPERLINK("https://www.ncbi.nlm.nih.gov/nucleotide/XM_027759404.1?report=genbank&amp;log$=nucltop&amp;blast_rank=57&amp;RID=29W0CYKG013","XM_027759404.1")</f>
        <v>XM_027759404.1</v>
      </c>
    </row>
    <row r="674" spans="1:7" x14ac:dyDescent="0.35">
      <c r="A674" t="s">
        <v>554</v>
      </c>
      <c r="B674">
        <v>73.900000000000006</v>
      </c>
      <c r="C674">
        <v>73.900000000000006</v>
      </c>
      <c r="D674" s="2">
        <v>0.75</v>
      </c>
      <c r="E674" s="3">
        <v>3.9999999999999999E-12</v>
      </c>
      <c r="F674">
        <v>34.44</v>
      </c>
      <c r="G674" t="str">
        <f>HYPERLINK("https://www.ncbi.nlm.nih.gov/nucleotide/XM_039054122.1?report=genbank&amp;log$=nucltop&amp;blast_rank=58&amp;RID=29W0CYKG013","XM_039054122.1")</f>
        <v>XM_039054122.1</v>
      </c>
    </row>
    <row r="675" spans="1:7" x14ac:dyDescent="0.35">
      <c r="A675" t="s">
        <v>556</v>
      </c>
      <c r="B675">
        <v>104</v>
      </c>
      <c r="C675">
        <v>104</v>
      </c>
      <c r="D675" s="2">
        <v>0.9</v>
      </c>
      <c r="E675" s="3">
        <v>2.0000000000000001E-22</v>
      </c>
      <c r="F675">
        <v>34.31</v>
      </c>
      <c r="G675" t="str">
        <f>HYPERLINK("https://www.ncbi.nlm.nih.gov/nucleotide/XM_007323234.1?report=genbank&amp;log$=nucltop&amp;blast_rank=59&amp;RID=29W0CYKG013","XM_007323234.1")</f>
        <v>XM_007323234.1</v>
      </c>
    </row>
    <row r="676" spans="1:7" x14ac:dyDescent="0.35">
      <c r="A676" t="s">
        <v>555</v>
      </c>
      <c r="B676">
        <v>99.4</v>
      </c>
      <c r="C676">
        <v>99.4</v>
      </c>
      <c r="D676" s="2">
        <v>0.9</v>
      </c>
      <c r="E676" s="3">
        <v>9.9999999999999995E-21</v>
      </c>
      <c r="F676">
        <v>33.770000000000003</v>
      </c>
      <c r="G676" t="str">
        <f>HYPERLINK("https://www.ncbi.nlm.nih.gov/nucleotide/XM_009554598.1?report=genbank&amp;log$=nucltop&amp;blast_rank=60&amp;RID=29W0CYKG013","XM_009554598.1")</f>
        <v>XM_009554598.1</v>
      </c>
    </row>
    <row r="677" spans="1:7" x14ac:dyDescent="0.35">
      <c r="A677" t="s">
        <v>558</v>
      </c>
      <c r="B677">
        <v>86.3</v>
      </c>
      <c r="C677">
        <v>86.3</v>
      </c>
      <c r="D677" s="2">
        <v>0.9</v>
      </c>
      <c r="E677" s="3">
        <v>9.9999999999999998E-17</v>
      </c>
      <c r="F677">
        <v>33.33</v>
      </c>
      <c r="G677" t="str">
        <f>HYPERLINK("https://www.ncbi.nlm.nih.gov/nucleotide/XM_007261781.1?report=genbank&amp;log$=nucltop&amp;blast_rank=61&amp;RID=29W0CYKG013","XM_007261781.1")</f>
        <v>XM_007261781.1</v>
      </c>
    </row>
    <row r="678" spans="1:7" x14ac:dyDescent="0.35">
      <c r="A678" t="s">
        <v>551</v>
      </c>
      <c r="B678">
        <v>47.8</v>
      </c>
      <c r="C678">
        <v>47.8</v>
      </c>
      <c r="D678" s="2">
        <v>0.36</v>
      </c>
      <c r="E678">
        <v>1.4999999999999999E-2</v>
      </c>
      <c r="F678">
        <v>33.33</v>
      </c>
      <c r="G678" t="str">
        <f>HYPERLINK("https://www.ncbi.nlm.nih.gov/nucleotide/XM_019170232.1?report=genbank&amp;log$=nucltop&amp;blast_rank=62&amp;RID=29W0CYKG013","XM_019170232.1")</f>
        <v>XM_019170232.1</v>
      </c>
    </row>
    <row r="679" spans="1:7" x14ac:dyDescent="0.35">
      <c r="A679" t="s">
        <v>561</v>
      </c>
      <c r="B679">
        <v>75.099999999999994</v>
      </c>
      <c r="C679">
        <v>75.099999999999994</v>
      </c>
      <c r="D679" s="2">
        <v>0.91</v>
      </c>
      <c r="E679" s="3">
        <v>6.0000000000000003E-12</v>
      </c>
      <c r="F679">
        <v>30.77</v>
      </c>
      <c r="G679" t="str">
        <f>HYPERLINK("https://www.ncbi.nlm.nih.gov/nucleotide/XM_007397925.1?report=genbank&amp;log$=nucltop&amp;blast_rank=63&amp;RID=29W0CYKG013","XM_007397925.1")</f>
        <v>XM_007397925.1</v>
      </c>
    </row>
    <row r="680" spans="1:7" x14ac:dyDescent="0.35">
      <c r="A680" t="s">
        <v>559</v>
      </c>
      <c r="B680">
        <v>61.6</v>
      </c>
      <c r="C680">
        <v>61.6</v>
      </c>
      <c r="D680" s="2">
        <v>0.77</v>
      </c>
      <c r="E680" s="3">
        <v>2.9999999999999999E-7</v>
      </c>
      <c r="F680">
        <v>29.51</v>
      </c>
      <c r="G680" t="str">
        <f>HYPERLINK("https://www.ncbi.nlm.nih.gov/nucleotide/XM_022025918.1?report=genbank&amp;log$=nucltop&amp;blast_rank=64&amp;RID=29W0CYKG013","XM_022025918.1")</f>
        <v>XM_022025918.1</v>
      </c>
    </row>
    <row r="681" spans="1:7" x14ac:dyDescent="0.35">
      <c r="A681" s="1" t="s">
        <v>1394</v>
      </c>
    </row>
    <row r="682" spans="1:7" x14ac:dyDescent="0.35">
      <c r="A682" s="1" t="s">
        <v>2</v>
      </c>
      <c r="B682" s="1" t="s">
        <v>3</v>
      </c>
      <c r="C682" s="1" t="s">
        <v>4</v>
      </c>
      <c r="D682" s="1" t="s">
        <v>5</v>
      </c>
      <c r="E682" s="1" t="s">
        <v>6</v>
      </c>
      <c r="F682" s="1" t="s">
        <v>7</v>
      </c>
      <c r="G682" s="1" t="s">
        <v>8</v>
      </c>
    </row>
    <row r="683" spans="1:7" x14ac:dyDescent="0.35">
      <c r="A683" t="s">
        <v>37</v>
      </c>
      <c r="B683">
        <v>888</v>
      </c>
      <c r="C683">
        <v>959</v>
      </c>
      <c r="D683" s="2">
        <v>0.99</v>
      </c>
      <c r="E683">
        <v>0</v>
      </c>
      <c r="F683">
        <v>86.96</v>
      </c>
      <c r="G683" t="str">
        <f>HYPERLINK("https://www.ncbi.nlm.nih.gov/nucleotide/LR732085.1?report=genbank&amp;log$=nucltop&amp;blast_rank=1&amp;RID=29W27GSD016","LR732085.1")</f>
        <v>LR732085.1</v>
      </c>
    </row>
    <row r="684" spans="1:7" x14ac:dyDescent="0.35">
      <c r="A684" t="s">
        <v>34</v>
      </c>
      <c r="B684">
        <v>421</v>
      </c>
      <c r="C684">
        <v>421</v>
      </c>
      <c r="D684" s="2">
        <v>0.73</v>
      </c>
      <c r="E684" s="3">
        <v>1E-136</v>
      </c>
      <c r="F684">
        <v>52.64</v>
      </c>
      <c r="G684" t="str">
        <f>HYPERLINK("https://www.ncbi.nlm.nih.gov/nucleotide/XM_001836368.2?report=genbank&amp;log$=nucltop&amp;blast_rank=2&amp;RID=29W27GSD016","XM_001836368.2")</f>
        <v>XM_001836368.2</v>
      </c>
    </row>
    <row r="685" spans="1:7" x14ac:dyDescent="0.35">
      <c r="A685" t="s">
        <v>29</v>
      </c>
      <c r="B685">
        <v>404</v>
      </c>
      <c r="C685">
        <v>404</v>
      </c>
      <c r="D685" s="2">
        <v>0.72</v>
      </c>
      <c r="E685" s="3">
        <v>2.0000000000000002E-130</v>
      </c>
      <c r="F685">
        <v>50.47</v>
      </c>
      <c r="G685" t="str">
        <f>HYPERLINK("https://www.ncbi.nlm.nih.gov/nucleotide/XM_036779059.1?report=genbank&amp;log$=nucltop&amp;blast_rank=3&amp;RID=29W27GSD016","XM_036779059.1")</f>
        <v>XM_036779059.1</v>
      </c>
    </row>
    <row r="686" spans="1:7" x14ac:dyDescent="0.35">
      <c r="A686" t="s">
        <v>24</v>
      </c>
      <c r="B686">
        <v>403</v>
      </c>
      <c r="C686">
        <v>403</v>
      </c>
      <c r="D686" s="2">
        <v>0.75</v>
      </c>
      <c r="E686" s="3">
        <v>9E-130</v>
      </c>
      <c r="F686">
        <v>48.43</v>
      </c>
      <c r="G686" t="str">
        <f>HYPERLINK("https://www.ncbi.nlm.nih.gov/nucleotide/XM_037359093.1?report=genbank&amp;log$=nucltop&amp;blast_rank=4&amp;RID=29W27GSD016","XM_037359093.1")</f>
        <v>XM_037359093.1</v>
      </c>
    </row>
    <row r="687" spans="1:7" x14ac:dyDescent="0.35">
      <c r="A687" t="s">
        <v>25</v>
      </c>
      <c r="B687">
        <v>385</v>
      </c>
      <c r="C687">
        <v>385</v>
      </c>
      <c r="D687" s="2">
        <v>0.73</v>
      </c>
      <c r="E687" s="3">
        <v>2.0000000000000001E-122</v>
      </c>
      <c r="F687">
        <v>47.92</v>
      </c>
      <c r="G687" t="str">
        <f>HYPERLINK("https://www.ncbi.nlm.nih.gov/nucleotide/XM_007330400.1?report=genbank&amp;log$=nucltop&amp;blast_rank=5&amp;RID=29W27GSD016","XM_007330400.1")</f>
        <v>XM_007330400.1</v>
      </c>
    </row>
    <row r="688" spans="1:7" x14ac:dyDescent="0.35">
      <c r="A688" t="s">
        <v>26</v>
      </c>
      <c r="B688">
        <v>384</v>
      </c>
      <c r="C688">
        <v>384</v>
      </c>
      <c r="D688" s="2">
        <v>0.73</v>
      </c>
      <c r="E688" s="3">
        <v>6.0000000000000001E-122</v>
      </c>
      <c r="F688">
        <v>47.69</v>
      </c>
      <c r="G688" t="str">
        <f>HYPERLINK("https://www.ncbi.nlm.nih.gov/nucleotide/XM_006459162.1?report=genbank&amp;log$=nucltop&amp;blast_rank=6&amp;RID=29W27GSD016","XM_006459162.1")</f>
        <v>XM_006459162.1</v>
      </c>
    </row>
    <row r="689" spans="1:7" x14ac:dyDescent="0.35">
      <c r="A689" t="s">
        <v>9</v>
      </c>
      <c r="B689">
        <v>144</v>
      </c>
      <c r="C689">
        <v>256</v>
      </c>
      <c r="D689" s="2">
        <v>0.51</v>
      </c>
      <c r="E689" s="3">
        <v>2E-51</v>
      </c>
      <c r="F689">
        <v>47.47</v>
      </c>
      <c r="G689" t="str">
        <f>HYPERLINK("https://www.ncbi.nlm.nih.gov/nucleotide/LR732079.1?report=genbank&amp;log$=nucltop&amp;blast_rank=7&amp;RID=29W27GSD016","LR732079.1")</f>
        <v>LR732079.1</v>
      </c>
    </row>
    <row r="690" spans="1:7" x14ac:dyDescent="0.35">
      <c r="A690" t="s">
        <v>19</v>
      </c>
      <c r="B690">
        <v>398</v>
      </c>
      <c r="C690">
        <v>398</v>
      </c>
      <c r="D690" s="2">
        <v>0.81</v>
      </c>
      <c r="E690" s="3">
        <v>4.0000000000000002E-128</v>
      </c>
      <c r="F690">
        <v>46.14</v>
      </c>
      <c r="G690" t="str">
        <f>HYPERLINK("https://www.ncbi.nlm.nih.gov/nucleotide/XM_001880890.1?report=genbank&amp;log$=nucltop&amp;blast_rank=8&amp;RID=29W27GSD016","XM_001880890.1")</f>
        <v>XM_001880890.1</v>
      </c>
    </row>
    <row r="691" spans="1:7" x14ac:dyDescent="0.35">
      <c r="A691" t="s">
        <v>33</v>
      </c>
      <c r="B691">
        <v>382</v>
      </c>
      <c r="C691">
        <v>382</v>
      </c>
      <c r="D691" s="2">
        <v>0.81</v>
      </c>
      <c r="E691" s="3">
        <v>5.9999999999999999E-121</v>
      </c>
      <c r="F691">
        <v>44.2</v>
      </c>
      <c r="G691" t="str">
        <f>HYPERLINK("https://www.ncbi.nlm.nih.gov/nucleotide/XM_007300020.1?report=genbank&amp;log$=nucltop&amp;blast_rank=9&amp;RID=29W27GSD016","XM_007300020.1")</f>
        <v>XM_007300020.1</v>
      </c>
    </row>
    <row r="692" spans="1:7" x14ac:dyDescent="0.35">
      <c r="A692" t="s">
        <v>21</v>
      </c>
      <c r="B692">
        <v>379</v>
      </c>
      <c r="C692">
        <v>379</v>
      </c>
      <c r="D692" s="2">
        <v>0.81</v>
      </c>
      <c r="E692" s="3">
        <v>1E-119</v>
      </c>
      <c r="F692">
        <v>43.96</v>
      </c>
      <c r="G692" t="str">
        <f>HYPERLINK("https://www.ncbi.nlm.nih.gov/nucleotide/XM_009546985.1?report=genbank&amp;log$=nucltop&amp;blast_rank=10&amp;RID=29W27GSD016","XM_009546985.1")</f>
        <v>XM_009546985.1</v>
      </c>
    </row>
    <row r="693" spans="1:7" x14ac:dyDescent="0.35">
      <c r="A693" t="s">
        <v>27</v>
      </c>
      <c r="B693">
        <v>164</v>
      </c>
      <c r="C693">
        <v>319</v>
      </c>
      <c r="D693" s="2">
        <v>0.73</v>
      </c>
      <c r="E693" s="3">
        <v>4E-70</v>
      </c>
      <c r="F693">
        <v>41.81</v>
      </c>
      <c r="G693" t="str">
        <f>HYPERLINK("https://www.ncbi.nlm.nih.gov/nucleotide/CP031830.1?report=genbank&amp;log$=nucltop&amp;blast_rank=11&amp;RID=29W27GSD016","CP031830.1")</f>
        <v>CP031830.1</v>
      </c>
    </row>
    <row r="694" spans="1:7" x14ac:dyDescent="0.35">
      <c r="A694" t="s">
        <v>28</v>
      </c>
      <c r="B694">
        <v>164</v>
      </c>
      <c r="C694">
        <v>319</v>
      </c>
      <c r="D694" s="2">
        <v>0.73</v>
      </c>
      <c r="E694" s="3">
        <v>4E-70</v>
      </c>
      <c r="F694">
        <v>41.81</v>
      </c>
      <c r="G694" t="str">
        <f>HYPERLINK("https://www.ncbi.nlm.nih.gov/nucleotide/LK023335.1?report=genbank&amp;log$=nucltop&amp;blast_rank=12&amp;RID=29W27GSD016","LK023335.1")</f>
        <v>LK023335.1</v>
      </c>
    </row>
    <row r="695" spans="1:7" x14ac:dyDescent="0.35">
      <c r="A695" t="s">
        <v>32</v>
      </c>
      <c r="B695">
        <v>323</v>
      </c>
      <c r="C695">
        <v>323</v>
      </c>
      <c r="D695" s="2">
        <v>0.73</v>
      </c>
      <c r="E695" s="3">
        <v>9.0000000000000002E-97</v>
      </c>
      <c r="F695">
        <v>41.74</v>
      </c>
      <c r="G695" t="str">
        <f>HYPERLINK("https://www.ncbi.nlm.nih.gov/nucleotide/XM_018429091.1?report=genbank&amp;log$=nucltop&amp;blast_rank=13&amp;RID=29W27GSD016","XM_018429091.1")</f>
        <v>XM_018429091.1</v>
      </c>
    </row>
    <row r="696" spans="1:7" x14ac:dyDescent="0.35">
      <c r="A696" t="s">
        <v>16</v>
      </c>
      <c r="B696">
        <v>207</v>
      </c>
      <c r="C696">
        <v>628</v>
      </c>
      <c r="D696" s="2">
        <v>0.73</v>
      </c>
      <c r="E696" s="3">
        <v>7.0000000000000006E-61</v>
      </c>
      <c r="F696">
        <v>40.92</v>
      </c>
      <c r="G696" t="str">
        <f>HYPERLINK("https://www.ncbi.nlm.nih.gov/nucleotide/CP039877.1?report=genbank&amp;log$=nucltop&amp;blast_rank=14&amp;RID=29W27GSD016","CP039877.1")</f>
        <v>CP039877.1</v>
      </c>
    </row>
    <row r="697" spans="1:7" x14ac:dyDescent="0.35">
      <c r="A697" t="s">
        <v>17</v>
      </c>
      <c r="B697">
        <v>207</v>
      </c>
      <c r="C697">
        <v>628</v>
      </c>
      <c r="D697" s="2">
        <v>0.73</v>
      </c>
      <c r="E697" s="3">
        <v>7.0000000000000006E-61</v>
      </c>
      <c r="F697">
        <v>40.92</v>
      </c>
      <c r="G697" t="str">
        <f>HYPERLINK("https://www.ncbi.nlm.nih.gov/nucleotide/CP015461.1?report=genbank&amp;log$=nucltop&amp;blast_rank=15&amp;RID=29W27GSD016","CP015461.1")</f>
        <v>CP015461.1</v>
      </c>
    </row>
    <row r="698" spans="1:7" x14ac:dyDescent="0.35">
      <c r="A698" t="s">
        <v>18</v>
      </c>
      <c r="B698">
        <v>207</v>
      </c>
      <c r="C698">
        <v>628</v>
      </c>
      <c r="D698" s="2">
        <v>0.73</v>
      </c>
      <c r="E698" s="3">
        <v>7.0000000000000006E-61</v>
      </c>
      <c r="F698">
        <v>40.92</v>
      </c>
      <c r="G698" t="str">
        <f>HYPERLINK("https://www.ncbi.nlm.nih.gov/nucleotide/CP015474.1?report=genbank&amp;log$=nucltop&amp;blast_rank=16&amp;RID=29W27GSD016","CP015474.1")</f>
        <v>CP015474.1</v>
      </c>
    </row>
    <row r="699" spans="1:7" x14ac:dyDescent="0.35">
      <c r="A699" t="s">
        <v>12</v>
      </c>
      <c r="B699">
        <v>265</v>
      </c>
      <c r="C699">
        <v>265</v>
      </c>
      <c r="D699" s="2">
        <v>0.66</v>
      </c>
      <c r="E699" s="3">
        <v>3.0000000000000002E-77</v>
      </c>
      <c r="F699">
        <v>40.67</v>
      </c>
      <c r="G699" t="str">
        <f>HYPERLINK("https://www.ncbi.nlm.nih.gov/nucleotide/XM_036779060.1?report=genbank&amp;log$=nucltop&amp;blast_rank=17&amp;RID=29W27GSD016","XM_036779060.1")</f>
        <v>XM_036779060.1</v>
      </c>
    </row>
    <row r="700" spans="1:7" x14ac:dyDescent="0.35">
      <c r="A700" s="4" t="s">
        <v>11</v>
      </c>
      <c r="B700" s="4">
        <v>293</v>
      </c>
      <c r="C700" s="4">
        <v>293</v>
      </c>
      <c r="D700" s="5">
        <v>0.73</v>
      </c>
      <c r="E700" s="6">
        <v>5.0000000000000004E-87</v>
      </c>
      <c r="F700" s="4">
        <v>40.229999999999997</v>
      </c>
      <c r="G700" s="4" t="str">
        <f>HYPERLINK("https://www.ncbi.nlm.nih.gov/nucleotide/AB551982.1?report=genbank&amp;log$=nucltop&amp;blast_rank=18&amp;RID=29W27GSD016","AB551982.1")</f>
        <v>AB551982.1</v>
      </c>
    </row>
    <row r="701" spans="1:7" x14ac:dyDescent="0.35">
      <c r="A701" t="s">
        <v>473</v>
      </c>
      <c r="B701">
        <v>199</v>
      </c>
      <c r="C701">
        <v>607</v>
      </c>
      <c r="D701" s="2">
        <v>0.74</v>
      </c>
      <c r="E701" s="3">
        <v>2E-50</v>
      </c>
      <c r="F701">
        <v>39.03</v>
      </c>
      <c r="G701" t="str">
        <f>HYPERLINK("https://www.ncbi.nlm.nih.gov/nucleotide/CP068007.1?report=genbank&amp;log$=nucltop&amp;blast_rank=19&amp;RID=29W27GSD016","CP068007.1")</f>
        <v>CP068007.1</v>
      </c>
    </row>
    <row r="702" spans="1:7" x14ac:dyDescent="0.35">
      <c r="A702" t="s">
        <v>35</v>
      </c>
      <c r="B702">
        <v>310</v>
      </c>
      <c r="C702">
        <v>310</v>
      </c>
      <c r="D702" s="2">
        <v>0.82</v>
      </c>
      <c r="E702" s="3">
        <v>7.9999999999999996E-94</v>
      </c>
      <c r="F702">
        <v>37.86</v>
      </c>
      <c r="G702" t="str">
        <f>HYPERLINK("https://www.ncbi.nlm.nih.gov/nucleotide/XM_023610462.1?report=genbank&amp;log$=nucltop&amp;blast_rank=20&amp;RID=29W27GSD016","XM_023610462.1")</f>
        <v>XM_023610462.1</v>
      </c>
    </row>
    <row r="703" spans="1:7" x14ac:dyDescent="0.35">
      <c r="A703" t="s">
        <v>14</v>
      </c>
      <c r="B703">
        <v>293</v>
      </c>
      <c r="C703">
        <v>293</v>
      </c>
      <c r="D703" s="2">
        <v>0.81</v>
      </c>
      <c r="E703" s="3">
        <v>6.0000000000000003E-87</v>
      </c>
      <c r="F703">
        <v>37.630000000000003</v>
      </c>
      <c r="G703" t="str">
        <f>HYPERLINK("https://www.ncbi.nlm.nih.gov/nucleotide/XM_007330301.1?report=genbank&amp;log$=nucltop&amp;blast_rank=21&amp;RID=29W27GSD016","XM_007330301.1")</f>
        <v>XM_007330301.1</v>
      </c>
    </row>
    <row r="704" spans="1:7" x14ac:dyDescent="0.35">
      <c r="A704" t="s">
        <v>15</v>
      </c>
      <c r="B704">
        <v>291</v>
      </c>
      <c r="C704">
        <v>291</v>
      </c>
      <c r="D704" s="2">
        <v>0.81</v>
      </c>
      <c r="E704" s="3">
        <v>4.9999999999999999E-86</v>
      </c>
      <c r="F704">
        <v>37.630000000000003</v>
      </c>
      <c r="G704" t="str">
        <f>HYPERLINK("https://www.ncbi.nlm.nih.gov/nucleotide/XM_006459161.1?report=genbank&amp;log$=nucltop&amp;blast_rank=22&amp;RID=29W27GSD016","XM_006459161.1")</f>
        <v>XM_006459161.1</v>
      </c>
    </row>
    <row r="705" spans="1:7" x14ac:dyDescent="0.35">
      <c r="A705" t="s">
        <v>19</v>
      </c>
      <c r="B705">
        <v>278</v>
      </c>
      <c r="C705">
        <v>278</v>
      </c>
      <c r="D705" s="2">
        <v>0.72</v>
      </c>
      <c r="E705" s="3">
        <v>9.9999999999999996E-82</v>
      </c>
      <c r="F705">
        <v>37.5</v>
      </c>
      <c r="G705" t="str">
        <f>HYPERLINK("https://www.ncbi.nlm.nih.gov/nucleotide/XM_001880889.1?report=genbank&amp;log$=nucltop&amp;blast_rank=23&amp;RID=29W27GSD016","XM_001880889.1")</f>
        <v>XM_001880889.1</v>
      </c>
    </row>
    <row r="706" spans="1:7" x14ac:dyDescent="0.35">
      <c r="A706" t="s">
        <v>39</v>
      </c>
      <c r="B706">
        <v>276</v>
      </c>
      <c r="C706">
        <v>276</v>
      </c>
      <c r="D706" s="2">
        <v>0.73</v>
      </c>
      <c r="E706" s="3">
        <v>9.9999999999999996E-81</v>
      </c>
      <c r="F706">
        <v>37.24</v>
      </c>
      <c r="G706" t="str">
        <f>HYPERLINK("https://www.ncbi.nlm.nih.gov/nucleotide/XM_025316703.1?report=genbank&amp;log$=nucltop&amp;blast_rank=24&amp;RID=29W27GSD016","XM_025316703.1")</f>
        <v>XM_025316703.1</v>
      </c>
    </row>
    <row r="707" spans="1:7" x14ac:dyDescent="0.35">
      <c r="A707" t="s">
        <v>21</v>
      </c>
      <c r="B707">
        <v>265</v>
      </c>
      <c r="C707">
        <v>265</v>
      </c>
      <c r="D707" s="2">
        <v>0.73</v>
      </c>
      <c r="E707" s="3">
        <v>3.9999999999999997E-76</v>
      </c>
      <c r="F707">
        <v>37.049999999999997</v>
      </c>
      <c r="G707" t="str">
        <f>HYPERLINK("https://www.ncbi.nlm.nih.gov/nucleotide/XM_009546986.1?report=genbank&amp;log$=nucltop&amp;blast_rank=25&amp;RID=29W27GSD016","XM_009546986.1")</f>
        <v>XM_009546986.1</v>
      </c>
    </row>
    <row r="708" spans="1:7" x14ac:dyDescent="0.35">
      <c r="A708" t="s">
        <v>30</v>
      </c>
      <c r="B708">
        <v>142</v>
      </c>
      <c r="C708">
        <v>310</v>
      </c>
      <c r="D708" s="2">
        <v>0.71</v>
      </c>
      <c r="E708" s="3">
        <v>2E-35</v>
      </c>
      <c r="F708">
        <v>36.71</v>
      </c>
      <c r="G708" t="str">
        <f>HYPERLINK("https://www.ncbi.nlm.nih.gov/nucleotide/CP031825.1?report=genbank&amp;log$=nucltop&amp;blast_rank=26&amp;RID=29W27GSD016","CP031825.1")</f>
        <v>CP031825.1</v>
      </c>
    </row>
    <row r="709" spans="1:7" x14ac:dyDescent="0.35">
      <c r="A709" t="s">
        <v>31</v>
      </c>
      <c r="B709">
        <v>142</v>
      </c>
      <c r="C709">
        <v>310</v>
      </c>
      <c r="D709" s="2">
        <v>0.71</v>
      </c>
      <c r="E709" s="3">
        <v>2E-35</v>
      </c>
      <c r="F709">
        <v>36.71</v>
      </c>
      <c r="G709" t="str">
        <f>HYPERLINK("https://www.ncbi.nlm.nih.gov/nucleotide/LK023313.1?report=genbank&amp;log$=nucltop&amp;blast_rank=27&amp;RID=29W27GSD016","LK023313.1")</f>
        <v>LK023313.1</v>
      </c>
    </row>
    <row r="710" spans="1:7" x14ac:dyDescent="0.35">
      <c r="A710" t="s">
        <v>22</v>
      </c>
      <c r="B710">
        <v>227</v>
      </c>
      <c r="C710">
        <v>227</v>
      </c>
      <c r="D710" s="2">
        <v>0.7</v>
      </c>
      <c r="E710" s="3">
        <v>2.0000000000000001E-63</v>
      </c>
      <c r="F710">
        <v>36.119999999999997</v>
      </c>
      <c r="G710" t="str">
        <f>HYPERLINK("https://www.ncbi.nlm.nih.gov/nucleotide/XM_001836369.2?report=genbank&amp;log$=nucltop&amp;blast_rank=28&amp;RID=29W27GSD016","XM_001836369.2")</f>
        <v>XM_001836369.2</v>
      </c>
    </row>
    <row r="711" spans="1:7" x14ac:dyDescent="0.35">
      <c r="A711" s="4" t="s">
        <v>13</v>
      </c>
      <c r="B711" s="4">
        <v>267</v>
      </c>
      <c r="C711" s="4">
        <v>267</v>
      </c>
      <c r="D711" s="5">
        <v>0.81</v>
      </c>
      <c r="E711" s="6">
        <v>1.9999999999999999E-77</v>
      </c>
      <c r="F711" s="4">
        <v>34.11</v>
      </c>
      <c r="G711" s="4" t="str">
        <f>HYPERLINK("https://www.ncbi.nlm.nih.gov/nucleotide/XM_037359092.1?report=genbank&amp;log$=nucltop&amp;blast_rank=29&amp;RID=29W27GSD016","XM_037359092.1")</f>
        <v>XM_037359092.1</v>
      </c>
    </row>
    <row r="712" spans="1:7" x14ac:dyDescent="0.35">
      <c r="A712" s="4" t="s">
        <v>20</v>
      </c>
      <c r="B712" s="4">
        <v>150</v>
      </c>
      <c r="C712" s="4">
        <v>298</v>
      </c>
      <c r="D712" s="5">
        <v>0.74</v>
      </c>
      <c r="E712" s="6">
        <v>6.0000000000000001E-64</v>
      </c>
      <c r="F712" s="4">
        <v>33.909999999999997</v>
      </c>
      <c r="G712" s="4" t="str">
        <f>HYPERLINK("https://www.ncbi.nlm.nih.gov/nucleotide/KJ999702.1?report=genbank&amp;log$=nucltop&amp;blast_rank=30&amp;RID=29W27GSD016","KJ999702.1")</f>
        <v>KJ999702.1</v>
      </c>
    </row>
    <row r="713" spans="1:7" x14ac:dyDescent="0.35">
      <c r="A713" t="s">
        <v>23</v>
      </c>
      <c r="B713">
        <v>225</v>
      </c>
      <c r="C713">
        <v>225</v>
      </c>
      <c r="D713" s="2">
        <v>0.73</v>
      </c>
      <c r="E713" s="3">
        <v>9.9999999999999997E-61</v>
      </c>
      <c r="F713">
        <v>33.619999999999997</v>
      </c>
      <c r="G713" t="str">
        <f>HYPERLINK("https://www.ncbi.nlm.nih.gov/nucleotide/XM_007300021.1?report=genbank&amp;log$=nucltop&amp;blast_rank=31&amp;RID=29W27GSD016","XM_007300021.1")</f>
        <v>XM_007300021.1</v>
      </c>
    </row>
    <row r="714" spans="1:7" x14ac:dyDescent="0.35">
      <c r="A714" s="4" t="s">
        <v>41</v>
      </c>
      <c r="B714" s="4">
        <v>189</v>
      </c>
      <c r="C714" s="4">
        <v>189</v>
      </c>
      <c r="D714" s="5">
        <v>0.72</v>
      </c>
      <c r="E714" s="6">
        <v>7.9999999999999995E-49</v>
      </c>
      <c r="F714" s="4">
        <v>33.18</v>
      </c>
      <c r="G714" s="4" t="str">
        <f>HYPERLINK("https://www.ncbi.nlm.nih.gov/nucleotide/XM_032045412.1?report=genbank&amp;log$=nucltop&amp;blast_rank=32&amp;RID=29W27GSD016","XM_032045412.1")</f>
        <v>XM_032045412.1</v>
      </c>
    </row>
    <row r="715" spans="1:7" x14ac:dyDescent="0.35">
      <c r="A715" t="s">
        <v>61</v>
      </c>
      <c r="B715">
        <v>175</v>
      </c>
      <c r="C715">
        <v>175</v>
      </c>
      <c r="D715" s="2">
        <v>0.7</v>
      </c>
      <c r="E715" s="3">
        <v>8.9999999999999997E-44</v>
      </c>
      <c r="F715">
        <v>33.17</v>
      </c>
      <c r="G715" t="str">
        <f>HYPERLINK("https://www.ncbi.nlm.nih.gov/nucleotide/XM_024831712.1?report=genbank&amp;log$=nucltop&amp;blast_rank=33&amp;RID=29W27GSD016","XM_024831712.1")</f>
        <v>XM_024831712.1</v>
      </c>
    </row>
    <row r="716" spans="1:7" x14ac:dyDescent="0.35">
      <c r="A716" s="4" t="s">
        <v>65</v>
      </c>
      <c r="B716" s="4">
        <v>192</v>
      </c>
      <c r="C716" s="4">
        <v>192</v>
      </c>
      <c r="D716" s="5">
        <v>0.72</v>
      </c>
      <c r="E716" s="6">
        <v>6.9999999999999999E-50</v>
      </c>
      <c r="F716" s="4">
        <v>32.549999999999997</v>
      </c>
      <c r="G716" s="4" t="str">
        <f>HYPERLINK("https://www.ncbi.nlm.nih.gov/nucleotide/XM_026774556.1?report=genbank&amp;log$=nucltop&amp;blast_rank=34&amp;RID=29W27GSD016","XM_026774556.1")</f>
        <v>XM_026774556.1</v>
      </c>
    </row>
    <row r="717" spans="1:7" x14ac:dyDescent="0.35">
      <c r="A717" t="s">
        <v>69</v>
      </c>
      <c r="B717">
        <v>195</v>
      </c>
      <c r="C717">
        <v>195</v>
      </c>
      <c r="D717" s="2">
        <v>0.72</v>
      </c>
      <c r="E717" s="3">
        <v>8.0000000000000001E-51</v>
      </c>
      <c r="F717">
        <v>32.24</v>
      </c>
      <c r="G717" t="str">
        <f>HYPERLINK("https://www.ncbi.nlm.nih.gov/nucleotide/XM_001390712.2?report=genbank&amp;log$=nucltop&amp;blast_rank=35&amp;RID=29W27GSD016","XM_001390712.2")</f>
        <v>XM_001390712.2</v>
      </c>
    </row>
    <row r="718" spans="1:7" x14ac:dyDescent="0.35">
      <c r="A718" t="s">
        <v>51</v>
      </c>
      <c r="B718">
        <v>191</v>
      </c>
      <c r="C718">
        <v>191</v>
      </c>
      <c r="D718" s="2">
        <v>0.74</v>
      </c>
      <c r="E718" s="3">
        <v>1.9999999999999999E-49</v>
      </c>
      <c r="F718">
        <v>32.049999999999997</v>
      </c>
      <c r="G718" t="str">
        <f>HYPERLINK("https://www.ncbi.nlm.nih.gov/nucleotide/XM_025528552.1?report=genbank&amp;log$=nucltop&amp;blast_rank=36&amp;RID=29W27GSD016","XM_025528552.1")</f>
        <v>XM_025528552.1</v>
      </c>
    </row>
    <row r="719" spans="1:7" x14ac:dyDescent="0.35">
      <c r="A719" t="s">
        <v>53</v>
      </c>
      <c r="B719">
        <v>195</v>
      </c>
      <c r="C719">
        <v>195</v>
      </c>
      <c r="D719" s="2">
        <v>0.74</v>
      </c>
      <c r="E719" s="3">
        <v>2E-50</v>
      </c>
      <c r="F719">
        <v>31.59</v>
      </c>
      <c r="G719" t="str">
        <f>HYPERLINK("https://www.ncbi.nlm.nih.gov/nucleotide/XM_025704096.1?report=genbank&amp;log$=nucltop&amp;blast_rank=37&amp;RID=29W27GSD016","XM_025704096.1")</f>
        <v>XM_025704096.1</v>
      </c>
    </row>
    <row r="720" spans="1:7" x14ac:dyDescent="0.35">
      <c r="A720" t="s">
        <v>48</v>
      </c>
      <c r="B720">
        <v>173</v>
      </c>
      <c r="C720">
        <v>173</v>
      </c>
      <c r="D720" s="2">
        <v>0.7</v>
      </c>
      <c r="E720" s="3">
        <v>3.0000000000000003E-42</v>
      </c>
      <c r="F720">
        <v>31.36</v>
      </c>
      <c r="G720" t="str">
        <f>HYPERLINK("https://www.ncbi.nlm.nih.gov/nucleotide/XM_009499650.1?report=genbank&amp;log$=nucltop&amp;blast_rank=38&amp;RID=29W27GSD016","XM_009499650.1")</f>
        <v>XM_009499650.1</v>
      </c>
    </row>
    <row r="721" spans="1:7" x14ac:dyDescent="0.35">
      <c r="A721" t="s">
        <v>52</v>
      </c>
      <c r="B721">
        <v>134</v>
      </c>
      <c r="C721">
        <v>134</v>
      </c>
      <c r="D721" s="2">
        <v>0.56000000000000005</v>
      </c>
      <c r="E721" s="3">
        <v>5.0000000000000004E-31</v>
      </c>
      <c r="F721">
        <v>31.21</v>
      </c>
      <c r="G721" t="str">
        <f>HYPERLINK("https://www.ncbi.nlm.nih.gov/nucleotide/XM_003857413.1?report=genbank&amp;log$=nucltop&amp;blast_rank=39&amp;RID=29W27GSD016","XM_003857413.1")</f>
        <v>XM_003857413.1</v>
      </c>
    </row>
    <row r="722" spans="1:7" x14ac:dyDescent="0.35">
      <c r="A722" t="s">
        <v>56</v>
      </c>
      <c r="B722">
        <v>194</v>
      </c>
      <c r="C722">
        <v>194</v>
      </c>
      <c r="D722" s="2">
        <v>0.74</v>
      </c>
      <c r="E722" s="3">
        <v>1E-51</v>
      </c>
      <c r="F722">
        <v>31.03</v>
      </c>
      <c r="G722" t="str">
        <f>HYPERLINK("https://www.ncbi.nlm.nih.gov/nucleotide/XM_024844676.1?report=genbank&amp;log$=nucltop&amp;blast_rank=40&amp;RID=29W27GSD016","XM_024844676.1")</f>
        <v>XM_024844676.1</v>
      </c>
    </row>
    <row r="723" spans="1:7" x14ac:dyDescent="0.35">
      <c r="A723" t="s">
        <v>54</v>
      </c>
      <c r="B723">
        <v>148</v>
      </c>
      <c r="C723">
        <v>148</v>
      </c>
      <c r="D723" s="2">
        <v>0.64</v>
      </c>
      <c r="E723" s="3">
        <v>3.0000000000000002E-33</v>
      </c>
      <c r="F723">
        <v>30.79</v>
      </c>
      <c r="G723" t="str">
        <f>HYPERLINK("https://www.ncbi.nlm.nih.gov/nucleotide/LT853692.1?report=genbank&amp;log$=nucltop&amp;blast_rank=41&amp;RID=29W27GSD016","LT853692.1")</f>
        <v>LT853692.1</v>
      </c>
    </row>
    <row r="724" spans="1:7" x14ac:dyDescent="0.35">
      <c r="A724" t="s">
        <v>43</v>
      </c>
      <c r="B724">
        <v>179</v>
      </c>
      <c r="C724">
        <v>179</v>
      </c>
      <c r="D724" s="2">
        <v>0.71</v>
      </c>
      <c r="E724" s="3">
        <v>2E-45</v>
      </c>
      <c r="F724">
        <v>30.71</v>
      </c>
      <c r="G724" t="str">
        <f>HYPERLINK("https://www.ncbi.nlm.nih.gov/nucleotide/XM_022549209.1?report=genbank&amp;log$=nucltop&amp;blast_rank=42&amp;RID=29W27GSD016","XM_022549209.1")</f>
        <v>XM_022549209.1</v>
      </c>
    </row>
    <row r="725" spans="1:7" x14ac:dyDescent="0.35">
      <c r="A725" t="s">
        <v>57</v>
      </c>
      <c r="B725">
        <v>146</v>
      </c>
      <c r="C725">
        <v>146</v>
      </c>
      <c r="D725" s="2">
        <v>0.64</v>
      </c>
      <c r="E725" s="3">
        <v>1.0000000000000001E-32</v>
      </c>
      <c r="F725">
        <v>30.53</v>
      </c>
      <c r="G725" t="str">
        <f>HYPERLINK("https://www.ncbi.nlm.nih.gov/nucleotide/LT854253.1?report=genbank&amp;log$=nucltop&amp;blast_rank=43&amp;RID=29W27GSD016","LT854253.1")</f>
        <v>LT854253.1</v>
      </c>
    </row>
    <row r="726" spans="1:7" x14ac:dyDescent="0.35">
      <c r="A726" t="s">
        <v>59</v>
      </c>
      <c r="B726">
        <v>146</v>
      </c>
      <c r="C726">
        <v>146</v>
      </c>
      <c r="D726" s="2">
        <v>0.64</v>
      </c>
      <c r="E726" s="3">
        <v>1.0000000000000001E-32</v>
      </c>
      <c r="F726">
        <v>30.53</v>
      </c>
      <c r="G726" t="str">
        <f>HYPERLINK("https://www.ncbi.nlm.nih.gov/nucleotide/LT882676.1?report=genbank&amp;log$=nucltop&amp;blast_rank=44&amp;RID=29W27GSD016","LT882676.1")</f>
        <v>LT882676.1</v>
      </c>
    </row>
    <row r="727" spans="1:7" x14ac:dyDescent="0.35">
      <c r="A727" t="s">
        <v>58</v>
      </c>
      <c r="B727">
        <v>146</v>
      </c>
      <c r="C727">
        <v>146</v>
      </c>
      <c r="D727" s="2">
        <v>0.64</v>
      </c>
      <c r="E727" s="3">
        <v>1.0000000000000001E-32</v>
      </c>
      <c r="F727">
        <v>30.53</v>
      </c>
      <c r="G727" t="str">
        <f>HYPERLINK("https://www.ncbi.nlm.nih.gov/nucleotide/LT854273.1?report=genbank&amp;log$=nucltop&amp;blast_rank=45&amp;RID=29W27GSD016","LT854273.1")</f>
        <v>LT854273.1</v>
      </c>
    </row>
    <row r="728" spans="1:7" x14ac:dyDescent="0.35">
      <c r="A728" t="s">
        <v>44</v>
      </c>
      <c r="B728">
        <v>169</v>
      </c>
      <c r="C728">
        <v>169</v>
      </c>
      <c r="D728" s="2">
        <v>0.71</v>
      </c>
      <c r="E728" s="3">
        <v>1E-42</v>
      </c>
      <c r="F728">
        <v>30.48</v>
      </c>
      <c r="G728" t="str">
        <f>HYPERLINK("https://www.ncbi.nlm.nih.gov/nucleotide/XM_033572072.1?report=genbank&amp;log$=nucltop&amp;blast_rank=46&amp;RID=29W27GSD016","XM_033572072.1")</f>
        <v>XM_033572072.1</v>
      </c>
    </row>
    <row r="729" spans="1:7" x14ac:dyDescent="0.35">
      <c r="A729" t="s">
        <v>76</v>
      </c>
      <c r="B729">
        <v>166</v>
      </c>
      <c r="C729">
        <v>166</v>
      </c>
      <c r="D729" s="2">
        <v>0.69</v>
      </c>
      <c r="E729" s="3">
        <v>3.0000000000000002E-40</v>
      </c>
      <c r="F729">
        <v>30.36</v>
      </c>
      <c r="G729" t="str">
        <f>HYPERLINK("https://www.ncbi.nlm.nih.gov/nucleotide/XM_026762387.1?report=genbank&amp;log$=nucltop&amp;blast_rank=47&amp;RID=29W27GSD016","XM_026762387.1")</f>
        <v>XM_026762387.1</v>
      </c>
    </row>
    <row r="730" spans="1:7" x14ac:dyDescent="0.35">
      <c r="A730" t="s">
        <v>85</v>
      </c>
      <c r="B730">
        <v>181</v>
      </c>
      <c r="C730">
        <v>181</v>
      </c>
      <c r="D730" s="2">
        <v>0.72</v>
      </c>
      <c r="E730" s="3">
        <v>4.0000000000000001E-46</v>
      </c>
      <c r="F730">
        <v>30.35</v>
      </c>
      <c r="G730" t="str">
        <f>HYPERLINK("https://www.ncbi.nlm.nih.gov/nucleotide/XM_002559523.1?report=genbank&amp;log$=nucltop&amp;blast_rank=48&amp;RID=29W27GSD016","XM_002559523.1")</f>
        <v>XM_002559523.1</v>
      </c>
    </row>
    <row r="731" spans="1:7" x14ac:dyDescent="0.35">
      <c r="A731" t="s">
        <v>794</v>
      </c>
      <c r="B731">
        <v>182</v>
      </c>
      <c r="C731">
        <v>182</v>
      </c>
      <c r="D731" s="2">
        <v>0.72</v>
      </c>
      <c r="E731" s="3">
        <v>9.9999999999999995E-45</v>
      </c>
      <c r="F731">
        <v>30.33</v>
      </c>
      <c r="G731" t="str">
        <f>HYPERLINK("https://www.ncbi.nlm.nih.gov/nucleotide/AP024419.1?report=genbank&amp;log$=nucltop&amp;blast_rank=49&amp;RID=29W27GSD016","AP024419.1")</f>
        <v>AP024419.1</v>
      </c>
    </row>
    <row r="732" spans="1:7" x14ac:dyDescent="0.35">
      <c r="A732" t="s">
        <v>101</v>
      </c>
      <c r="B732">
        <v>150</v>
      </c>
      <c r="C732">
        <v>150</v>
      </c>
      <c r="D732" s="2">
        <v>0.7</v>
      </c>
      <c r="E732" s="3">
        <v>6.0000000000000003E-36</v>
      </c>
      <c r="F732">
        <v>30.12</v>
      </c>
      <c r="G732" t="str">
        <f>HYPERLINK("https://www.ncbi.nlm.nih.gov/nucleotide/XM_023596533.1?report=genbank&amp;log$=nucltop&amp;blast_rank=50&amp;RID=29W27GSD016","XM_023596533.1")</f>
        <v>XM_023596533.1</v>
      </c>
    </row>
    <row r="733" spans="1:7" x14ac:dyDescent="0.35">
      <c r="A733" t="s">
        <v>80</v>
      </c>
      <c r="B733">
        <v>179</v>
      </c>
      <c r="C733">
        <v>179</v>
      </c>
      <c r="D733" s="2">
        <v>0.72</v>
      </c>
      <c r="E733" s="3">
        <v>4.9999999999999998E-45</v>
      </c>
      <c r="F733">
        <v>29.95</v>
      </c>
      <c r="G733" t="str">
        <f>HYPERLINK("https://www.ncbi.nlm.nih.gov/nucleotide/XM_025662501.1?report=genbank&amp;log$=nucltop&amp;blast_rank=51&amp;RID=29W27GSD016","XM_025662501.1")</f>
        <v>XM_025662501.1</v>
      </c>
    </row>
    <row r="734" spans="1:7" x14ac:dyDescent="0.35">
      <c r="A734" t="s">
        <v>45</v>
      </c>
      <c r="B734">
        <v>195</v>
      </c>
      <c r="C734">
        <v>195</v>
      </c>
      <c r="D734" s="2">
        <v>0.75</v>
      </c>
      <c r="E734" s="3">
        <v>3E-51</v>
      </c>
      <c r="F734">
        <v>29.84</v>
      </c>
      <c r="G734" t="str">
        <f>HYPERLINK("https://www.ncbi.nlm.nih.gov/nucleotide/XM_007926421.1?report=genbank&amp;log$=nucltop&amp;blast_rank=52&amp;RID=29W27GSD016","XM_007926421.1")</f>
        <v>XM_007926421.1</v>
      </c>
    </row>
    <row r="735" spans="1:7" x14ac:dyDescent="0.35">
      <c r="A735" s="4" t="s">
        <v>66</v>
      </c>
      <c r="B735" s="4">
        <v>162</v>
      </c>
      <c r="C735" s="4">
        <v>162</v>
      </c>
      <c r="D735" s="5">
        <v>0.72</v>
      </c>
      <c r="E735" s="6">
        <v>9.9999999999999993E-40</v>
      </c>
      <c r="F735" s="4">
        <v>29.77</v>
      </c>
      <c r="G735" s="4" t="str">
        <f>HYPERLINK("https://www.ncbi.nlm.nih.gov/nucleotide/XM_035498118.1?report=genbank&amp;log$=nucltop&amp;blast_rank=53&amp;RID=29W27GSD016","XM_035498118.1")</f>
        <v>XM_035498118.1</v>
      </c>
    </row>
    <row r="736" spans="1:7" x14ac:dyDescent="0.35">
      <c r="A736" t="s">
        <v>36</v>
      </c>
      <c r="B736">
        <v>92.4</v>
      </c>
      <c r="C736">
        <v>183</v>
      </c>
      <c r="D736" s="2">
        <v>0.7</v>
      </c>
      <c r="E736" s="3">
        <v>6.0000000000000003E-36</v>
      </c>
      <c r="F736">
        <v>29.45</v>
      </c>
      <c r="G736" t="str">
        <f>HYPERLINK("https://www.ncbi.nlm.nih.gov/nucleotide/AM270105.1?report=genbank&amp;log$=nucltop&amp;blast_rank=54&amp;RID=29W27GSD016","AM270105.1")</f>
        <v>AM270105.1</v>
      </c>
    </row>
    <row r="737" spans="1:7" x14ac:dyDescent="0.35">
      <c r="A737" t="s">
        <v>60</v>
      </c>
      <c r="B737">
        <v>175</v>
      </c>
      <c r="C737">
        <v>175</v>
      </c>
      <c r="D737" s="2">
        <v>0.72</v>
      </c>
      <c r="E737" s="3">
        <v>1.0000000000000001E-43</v>
      </c>
      <c r="F737">
        <v>29.28</v>
      </c>
      <c r="G737" t="str">
        <f>HYPERLINK("https://www.ncbi.nlm.nih.gov/nucleotide/XM_035498527.1?report=genbank&amp;log$=nucltop&amp;blast_rank=55&amp;RID=29W27GSD016","XM_035498527.1")</f>
        <v>XM_035498527.1</v>
      </c>
    </row>
    <row r="738" spans="1:7" x14ac:dyDescent="0.35">
      <c r="A738" t="s">
        <v>795</v>
      </c>
      <c r="B738">
        <v>171</v>
      </c>
      <c r="C738">
        <v>171</v>
      </c>
      <c r="D738" s="2">
        <v>0.72</v>
      </c>
      <c r="E738" s="3">
        <v>5.9999999999999998E-41</v>
      </c>
      <c r="F738">
        <v>29.15</v>
      </c>
      <c r="G738" t="str">
        <f>HYPERLINK("https://www.ncbi.nlm.nih.gov/nucleotide/AP024418.1?report=genbank&amp;log$=nucltop&amp;blast_rank=56&amp;RID=29W27GSD016","AP024418.1")</f>
        <v>AP024418.1</v>
      </c>
    </row>
    <row r="739" spans="1:7" x14ac:dyDescent="0.35">
      <c r="A739" t="s">
        <v>81</v>
      </c>
      <c r="B739">
        <v>130</v>
      </c>
      <c r="C739">
        <v>130</v>
      </c>
      <c r="D739" s="2">
        <v>0.69</v>
      </c>
      <c r="E739" s="3">
        <v>1.9999999999999999E-28</v>
      </c>
      <c r="F739">
        <v>29.1</v>
      </c>
      <c r="G739" t="str">
        <f>HYPERLINK("https://www.ncbi.nlm.nih.gov/nucleotide/XM_011327711.1?report=genbank&amp;log$=nucltop&amp;blast_rank=57&amp;RID=29W27GSD016","XM_011327711.1")</f>
        <v>XM_011327711.1</v>
      </c>
    </row>
    <row r="740" spans="1:7" x14ac:dyDescent="0.35">
      <c r="A740" t="s">
        <v>79</v>
      </c>
      <c r="B740">
        <v>166</v>
      </c>
      <c r="C740">
        <v>166</v>
      </c>
      <c r="D740" s="2">
        <v>0.68</v>
      </c>
      <c r="E740" s="3">
        <v>9.9999999999999993E-41</v>
      </c>
      <c r="F740">
        <v>29.02</v>
      </c>
      <c r="G740" t="str">
        <f>HYPERLINK("https://www.ncbi.nlm.nih.gov/nucleotide/XM_033553550.1?report=genbank&amp;log$=nucltop&amp;blast_rank=58&amp;RID=29W27GSD016","XM_033553550.1")</f>
        <v>XM_033553550.1</v>
      </c>
    </row>
    <row r="741" spans="1:7" x14ac:dyDescent="0.35">
      <c r="A741" t="s">
        <v>69</v>
      </c>
      <c r="B741">
        <v>151</v>
      </c>
      <c r="C741">
        <v>151</v>
      </c>
      <c r="D741" s="2">
        <v>0.72</v>
      </c>
      <c r="E741" s="3">
        <v>1E-35</v>
      </c>
      <c r="F741">
        <v>28.9</v>
      </c>
      <c r="G741" t="str">
        <f>HYPERLINK("https://www.ncbi.nlm.nih.gov/nucleotide/XM_001401884.2?report=genbank&amp;log$=nucltop&amp;blast_rank=59&amp;RID=29W27GSD016","XM_001401884.2")</f>
        <v>XM_001401884.2</v>
      </c>
    </row>
    <row r="742" spans="1:7" x14ac:dyDescent="0.35">
      <c r="A742" t="s">
        <v>72</v>
      </c>
      <c r="B742">
        <v>151</v>
      </c>
      <c r="C742">
        <v>151</v>
      </c>
      <c r="D742" s="2">
        <v>0.72</v>
      </c>
      <c r="E742" s="3">
        <v>2.9999999999999999E-35</v>
      </c>
      <c r="F742">
        <v>28.9</v>
      </c>
      <c r="G742" t="str">
        <f>HYPERLINK("https://www.ncbi.nlm.nih.gov/nucleotide/XM_025601684.1?report=genbank&amp;log$=nucltop&amp;blast_rank=60&amp;RID=29W27GSD016","XM_025601684.1")</f>
        <v>XM_025601684.1</v>
      </c>
    </row>
    <row r="743" spans="1:7" x14ac:dyDescent="0.35">
      <c r="A743" t="s">
        <v>68</v>
      </c>
      <c r="B743">
        <v>144</v>
      </c>
      <c r="C743">
        <v>144</v>
      </c>
      <c r="D743" s="2">
        <v>0.63</v>
      </c>
      <c r="E743" s="3">
        <v>6E-34</v>
      </c>
      <c r="F743">
        <v>28.88</v>
      </c>
      <c r="G743" t="str">
        <f>HYPERLINK("https://www.ncbi.nlm.nih.gov/nucleotide/XM_001262908.1?report=genbank&amp;log$=nucltop&amp;blast_rank=61&amp;RID=29W27GSD016","XM_001262908.1")</f>
        <v>XM_001262908.1</v>
      </c>
    </row>
    <row r="744" spans="1:7" x14ac:dyDescent="0.35">
      <c r="A744" t="s">
        <v>743</v>
      </c>
      <c r="B744">
        <v>131</v>
      </c>
      <c r="C744">
        <v>161</v>
      </c>
      <c r="D744" s="2">
        <v>0.7</v>
      </c>
      <c r="E744" s="3">
        <v>3.0000000000000003E-29</v>
      </c>
      <c r="F744">
        <v>28.81</v>
      </c>
      <c r="G744" t="str">
        <f>HYPERLINK("https://www.ncbi.nlm.nih.gov/nucleotide/CP066504.1?report=genbank&amp;log$=nucltop&amp;blast_rank=62&amp;RID=29W27GSD016","CP066504.1")</f>
        <v>CP066504.1</v>
      </c>
    </row>
    <row r="745" spans="1:7" x14ac:dyDescent="0.35">
      <c r="A745" t="s">
        <v>49</v>
      </c>
      <c r="B745">
        <v>145</v>
      </c>
      <c r="C745">
        <v>145</v>
      </c>
      <c r="D745" s="2">
        <v>0.76</v>
      </c>
      <c r="E745" s="3">
        <v>3.0000000000000002E-33</v>
      </c>
      <c r="F745">
        <v>28.73</v>
      </c>
      <c r="G745" t="str">
        <f>HYPERLINK("https://www.ncbi.nlm.nih.gov/nucleotide/XM_001217916.1?report=genbank&amp;log$=nucltop&amp;blast_rank=63&amp;RID=29W27GSD016","XM_001217916.1")</f>
        <v>XM_001217916.1</v>
      </c>
    </row>
    <row r="746" spans="1:7" x14ac:dyDescent="0.35">
      <c r="A746" s="4" t="s">
        <v>50</v>
      </c>
      <c r="B746" s="4">
        <v>176</v>
      </c>
      <c r="C746" s="4">
        <v>176</v>
      </c>
      <c r="D746" s="5">
        <v>0.74</v>
      </c>
      <c r="E746" s="6">
        <v>3.0000000000000002E-44</v>
      </c>
      <c r="F746" s="4">
        <v>28.67</v>
      </c>
      <c r="G746" s="4" t="str">
        <f>HYPERLINK("https://www.ncbi.nlm.nih.gov/nucleotide/XM_032058508.1?report=genbank&amp;log$=nucltop&amp;blast_rank=64&amp;RID=29W27GSD016","XM_032058508.1")</f>
        <v>XM_032058508.1</v>
      </c>
    </row>
    <row r="747" spans="1:7" x14ac:dyDescent="0.35">
      <c r="A747" t="s">
        <v>77</v>
      </c>
      <c r="B747">
        <v>135</v>
      </c>
      <c r="C747">
        <v>135</v>
      </c>
      <c r="D747" s="2">
        <v>0.68</v>
      </c>
      <c r="E747" s="3">
        <v>1.9999999999999999E-29</v>
      </c>
      <c r="F747">
        <v>28.54</v>
      </c>
      <c r="G747" t="str">
        <f>HYPERLINK("https://www.ncbi.nlm.nih.gov/nucleotide/XM_025680603.1?report=genbank&amp;log$=nucltop&amp;blast_rank=65&amp;RID=29W27GSD016","XM_025680603.1")</f>
        <v>XM_025680603.1</v>
      </c>
    </row>
    <row r="748" spans="1:7" x14ac:dyDescent="0.35">
      <c r="A748" t="s">
        <v>105</v>
      </c>
      <c r="B748">
        <v>142</v>
      </c>
      <c r="C748">
        <v>142</v>
      </c>
      <c r="D748" s="2">
        <v>0.69</v>
      </c>
      <c r="E748" s="3">
        <v>1.0000000000000001E-31</v>
      </c>
      <c r="F748">
        <v>28.4</v>
      </c>
      <c r="G748" t="str">
        <f>HYPERLINK("https://www.ncbi.nlm.nih.gov/nucleotide/XM_033555780.1?report=genbank&amp;log$=nucltop&amp;blast_rank=66&amp;RID=29W27GSD016","XM_033555780.1")</f>
        <v>XM_033555780.1</v>
      </c>
    </row>
    <row r="749" spans="1:7" x14ac:dyDescent="0.35">
      <c r="A749" t="s">
        <v>42</v>
      </c>
      <c r="B749">
        <v>164</v>
      </c>
      <c r="C749">
        <v>164</v>
      </c>
      <c r="D749" s="2">
        <v>0.72</v>
      </c>
      <c r="E749" s="3">
        <v>7.0000000000000003E-40</v>
      </c>
      <c r="F749">
        <v>28.38</v>
      </c>
      <c r="G749" t="str">
        <f>HYPERLINK("https://www.ncbi.nlm.nih.gov/nucleotide/XM_015554209.1?report=genbank&amp;log$=nucltop&amp;blast_rank=67&amp;RID=29W27GSD016","XM_015554209.1")</f>
        <v>XM_015554209.1</v>
      </c>
    </row>
    <row r="750" spans="1:7" x14ac:dyDescent="0.35">
      <c r="A750" t="s">
        <v>491</v>
      </c>
      <c r="B750">
        <v>168</v>
      </c>
      <c r="C750">
        <v>168</v>
      </c>
      <c r="D750" s="2">
        <v>0.72</v>
      </c>
      <c r="E750" s="3">
        <v>2.9999999999999999E-41</v>
      </c>
      <c r="F750">
        <v>28.28</v>
      </c>
      <c r="G750" t="str">
        <f>HYPERLINK("https://www.ncbi.nlm.nih.gov/nucleotide/XM_039068458.1?report=genbank&amp;log$=nucltop&amp;blast_rank=68&amp;RID=29W27GSD016","XM_039068458.1")</f>
        <v>XM_039068458.1</v>
      </c>
    </row>
    <row r="751" spans="1:7" x14ac:dyDescent="0.35">
      <c r="A751" t="s">
        <v>90</v>
      </c>
      <c r="B751">
        <v>168</v>
      </c>
      <c r="C751">
        <v>168</v>
      </c>
      <c r="D751" s="2">
        <v>0.72</v>
      </c>
      <c r="E751" s="3">
        <v>5.9999999999999998E-41</v>
      </c>
      <c r="F751">
        <v>28.27</v>
      </c>
      <c r="G751" t="str">
        <f>HYPERLINK("https://www.ncbi.nlm.nih.gov/nucleotide/XM_025683366.1?report=genbank&amp;log$=nucltop&amp;blast_rank=69&amp;RID=29W27GSD016","XM_025683366.1")</f>
        <v>XM_025683366.1</v>
      </c>
    </row>
    <row r="752" spans="1:7" x14ac:dyDescent="0.35">
      <c r="A752" t="s">
        <v>474</v>
      </c>
      <c r="B752">
        <v>77.8</v>
      </c>
      <c r="C752">
        <v>152</v>
      </c>
      <c r="D752" s="2">
        <v>0.67</v>
      </c>
      <c r="E752" s="3">
        <v>1E-26</v>
      </c>
      <c r="F752">
        <v>28.09</v>
      </c>
      <c r="G752" t="str">
        <f>HYPERLINK("https://www.ncbi.nlm.nih.gov/nucleotide/CP061806.1?report=genbank&amp;log$=nucltop&amp;blast_rank=70&amp;RID=29W27GSD016","CP061806.1")</f>
        <v>CP061806.1</v>
      </c>
    </row>
    <row r="753" spans="1:7" x14ac:dyDescent="0.35">
      <c r="A753" t="s">
        <v>475</v>
      </c>
      <c r="B753">
        <v>77.8</v>
      </c>
      <c r="C753">
        <v>152</v>
      </c>
      <c r="D753" s="2">
        <v>0.67</v>
      </c>
      <c r="E753" s="3">
        <v>1E-26</v>
      </c>
      <c r="F753">
        <v>28.09</v>
      </c>
      <c r="G753" t="str">
        <f>HYPERLINK("https://www.ncbi.nlm.nih.gov/nucleotide/CP051037.1?report=genbank&amp;log$=nucltop&amp;blast_rank=71&amp;RID=29W27GSD016","CP051037.1")</f>
        <v>CP051037.1</v>
      </c>
    </row>
    <row r="754" spans="1:7" x14ac:dyDescent="0.35">
      <c r="A754" t="s">
        <v>476</v>
      </c>
      <c r="B754">
        <v>77.8</v>
      </c>
      <c r="C754">
        <v>152</v>
      </c>
      <c r="D754" s="2">
        <v>0.67</v>
      </c>
      <c r="E754" s="3">
        <v>1E-26</v>
      </c>
      <c r="F754">
        <v>28.09</v>
      </c>
      <c r="G754" t="str">
        <f>HYPERLINK("https://www.ncbi.nlm.nih.gov/nucleotide/CP051029.1?report=genbank&amp;log$=nucltop&amp;blast_rank=72&amp;RID=29W27GSD016","CP051029.1")</f>
        <v>CP051029.1</v>
      </c>
    </row>
    <row r="755" spans="1:7" x14ac:dyDescent="0.35">
      <c r="A755" t="s">
        <v>477</v>
      </c>
      <c r="B755">
        <v>77.8</v>
      </c>
      <c r="C755">
        <v>152</v>
      </c>
      <c r="D755" s="2">
        <v>0.67</v>
      </c>
      <c r="E755" s="3">
        <v>1E-26</v>
      </c>
      <c r="F755">
        <v>28.09</v>
      </c>
      <c r="G755" t="str">
        <f>HYPERLINK("https://www.ncbi.nlm.nih.gov/nucleotide/CP044620.1?report=genbank&amp;log$=nucltop&amp;blast_rank=73&amp;RID=29W27GSD016","CP044620.1")</f>
        <v>CP044620.1</v>
      </c>
    </row>
    <row r="756" spans="1:7" x14ac:dyDescent="0.35">
      <c r="A756" t="s">
        <v>478</v>
      </c>
      <c r="B756">
        <v>77.8</v>
      </c>
      <c r="C756">
        <v>152</v>
      </c>
      <c r="D756" s="2">
        <v>0.67</v>
      </c>
      <c r="E756" s="3">
        <v>1E-26</v>
      </c>
      <c r="F756">
        <v>28.09</v>
      </c>
      <c r="G756" t="str">
        <f>HYPERLINK("https://www.ncbi.nlm.nih.gov/nucleotide/CP059868.1?report=genbank&amp;log$=nucltop&amp;blast_rank=74&amp;RID=29W27GSD016","CP059868.1")</f>
        <v>CP059868.1</v>
      </c>
    </row>
    <row r="757" spans="1:7" x14ac:dyDescent="0.35">
      <c r="A757" t="s">
        <v>479</v>
      </c>
      <c r="B757">
        <v>77.8</v>
      </c>
      <c r="C757">
        <v>152</v>
      </c>
      <c r="D757" s="2">
        <v>0.67</v>
      </c>
      <c r="E757" s="3">
        <v>1E-26</v>
      </c>
      <c r="F757">
        <v>28.09</v>
      </c>
      <c r="G757" t="str">
        <f>HYPERLINK("https://www.ncbi.nlm.nih.gov/nucleotide/CP051053.1?report=genbank&amp;log$=nucltop&amp;blast_rank=75&amp;RID=29W27GSD016","CP051053.1")</f>
        <v>CP051053.1</v>
      </c>
    </row>
    <row r="758" spans="1:7" x14ac:dyDescent="0.35">
      <c r="A758" t="s">
        <v>480</v>
      </c>
      <c r="B758">
        <v>77.8</v>
      </c>
      <c r="C758">
        <v>152</v>
      </c>
      <c r="D758" s="2">
        <v>0.67</v>
      </c>
      <c r="E758" s="3">
        <v>1E-26</v>
      </c>
      <c r="F758">
        <v>28.09</v>
      </c>
      <c r="G758" t="str">
        <f>HYPERLINK("https://www.ncbi.nlm.nih.gov/nucleotide/CP059860.1?report=genbank&amp;log$=nucltop&amp;blast_rank=76&amp;RID=29W27GSD016","CP059860.1")</f>
        <v>CP059860.1</v>
      </c>
    </row>
    <row r="759" spans="1:7" x14ac:dyDescent="0.35">
      <c r="A759" t="s">
        <v>481</v>
      </c>
      <c r="B759">
        <v>77.8</v>
      </c>
      <c r="C759">
        <v>152</v>
      </c>
      <c r="D759" s="2">
        <v>0.67</v>
      </c>
      <c r="E759" s="3">
        <v>1E-26</v>
      </c>
      <c r="F759">
        <v>28.09</v>
      </c>
      <c r="G759" t="str">
        <f>HYPERLINK("https://www.ncbi.nlm.nih.gov/nucleotide/CP051045.1?report=genbank&amp;log$=nucltop&amp;blast_rank=77&amp;RID=29W27GSD016","CP051045.1")</f>
        <v>CP051045.1</v>
      </c>
    </row>
    <row r="760" spans="1:7" x14ac:dyDescent="0.35">
      <c r="A760" t="s">
        <v>485</v>
      </c>
      <c r="B760">
        <v>78.2</v>
      </c>
      <c r="C760">
        <v>152</v>
      </c>
      <c r="D760" s="2">
        <v>0.67</v>
      </c>
      <c r="E760" s="3">
        <v>1E-26</v>
      </c>
      <c r="F760">
        <v>28.09</v>
      </c>
      <c r="G760" t="str">
        <f>HYPERLINK("https://www.ncbi.nlm.nih.gov/nucleotide/CP051085.1?report=genbank&amp;log$=nucltop&amp;blast_rank=78&amp;RID=29W27GSD016","CP051085.1")</f>
        <v>CP051085.1</v>
      </c>
    </row>
    <row r="761" spans="1:7" x14ac:dyDescent="0.35">
      <c r="A761" t="s">
        <v>486</v>
      </c>
      <c r="B761">
        <v>78.2</v>
      </c>
      <c r="C761">
        <v>152</v>
      </c>
      <c r="D761" s="2">
        <v>0.67</v>
      </c>
      <c r="E761" s="3">
        <v>1E-26</v>
      </c>
      <c r="F761">
        <v>28.09</v>
      </c>
      <c r="G761" t="str">
        <f>HYPERLINK("https://www.ncbi.nlm.nih.gov/nucleotide/CP051061.1?report=genbank&amp;log$=nucltop&amp;blast_rank=79&amp;RID=29W27GSD016","CP051061.1")</f>
        <v>CP051061.1</v>
      </c>
    </row>
    <row r="762" spans="1:7" x14ac:dyDescent="0.35">
      <c r="A762" t="s">
        <v>487</v>
      </c>
      <c r="B762">
        <v>78.2</v>
      </c>
      <c r="C762">
        <v>152</v>
      </c>
      <c r="D762" s="2">
        <v>0.67</v>
      </c>
      <c r="E762" s="3">
        <v>1E-26</v>
      </c>
      <c r="F762">
        <v>28.09</v>
      </c>
      <c r="G762" t="str">
        <f>HYPERLINK("https://www.ncbi.nlm.nih.gov/nucleotide/CP051093.1?report=genbank&amp;log$=nucltop&amp;blast_rank=80&amp;RID=29W27GSD016","CP051093.1")</f>
        <v>CP051093.1</v>
      </c>
    </row>
    <row r="763" spans="1:7" x14ac:dyDescent="0.35">
      <c r="A763" t="s">
        <v>488</v>
      </c>
      <c r="B763">
        <v>78.2</v>
      </c>
      <c r="C763">
        <v>152</v>
      </c>
      <c r="D763" s="2">
        <v>0.67</v>
      </c>
      <c r="E763" s="3">
        <v>1E-26</v>
      </c>
      <c r="F763">
        <v>28.09</v>
      </c>
      <c r="G763" t="str">
        <f>HYPERLINK("https://www.ncbi.nlm.nih.gov/nucleotide/CP051021.1?report=genbank&amp;log$=nucltop&amp;blast_rank=81&amp;RID=29W27GSD016","CP051021.1")</f>
        <v>CP051021.1</v>
      </c>
    </row>
    <row r="764" spans="1:7" x14ac:dyDescent="0.35">
      <c r="A764" t="s">
        <v>482</v>
      </c>
      <c r="B764">
        <v>77.8</v>
      </c>
      <c r="C764">
        <v>152</v>
      </c>
      <c r="D764" s="2">
        <v>0.67</v>
      </c>
      <c r="E764" s="3">
        <v>1E-26</v>
      </c>
      <c r="F764">
        <v>28.09</v>
      </c>
      <c r="G764" t="str">
        <f>HYPERLINK("https://www.ncbi.nlm.nih.gov/nucleotide/CP051069.1?report=genbank&amp;log$=nucltop&amp;blast_rank=82&amp;RID=29W27GSD016","CP051069.1")</f>
        <v>CP051069.1</v>
      </c>
    </row>
    <row r="765" spans="1:7" x14ac:dyDescent="0.35">
      <c r="A765" t="s">
        <v>489</v>
      </c>
      <c r="B765">
        <v>77.8</v>
      </c>
      <c r="C765">
        <v>152</v>
      </c>
      <c r="D765" s="2">
        <v>0.67</v>
      </c>
      <c r="E765" s="3">
        <v>1E-26</v>
      </c>
      <c r="F765">
        <v>28.09</v>
      </c>
      <c r="G765" t="str">
        <f>HYPERLINK("https://www.ncbi.nlm.nih.gov/nucleotide/CP051077.1?report=genbank&amp;log$=nucltop&amp;blast_rank=83&amp;RID=29W27GSD016","CP051077.1")</f>
        <v>CP051077.1</v>
      </c>
    </row>
    <row r="766" spans="1:7" x14ac:dyDescent="0.35">
      <c r="A766" t="s">
        <v>483</v>
      </c>
      <c r="B766">
        <v>77.8</v>
      </c>
      <c r="C766">
        <v>152</v>
      </c>
      <c r="D766" s="2">
        <v>0.67</v>
      </c>
      <c r="E766" s="3">
        <v>1E-26</v>
      </c>
      <c r="F766">
        <v>28.09</v>
      </c>
      <c r="G766" t="str">
        <f>HYPERLINK("https://www.ncbi.nlm.nih.gov/nucleotide/CP047251.1?report=genbank&amp;log$=nucltop&amp;blast_rank=84&amp;RID=29W27GSD016","CP047251.1")</f>
        <v>CP047251.1</v>
      </c>
    </row>
    <row r="767" spans="1:7" x14ac:dyDescent="0.35">
      <c r="A767" t="s">
        <v>484</v>
      </c>
      <c r="B767">
        <v>77.8</v>
      </c>
      <c r="C767">
        <v>152</v>
      </c>
      <c r="D767" s="2">
        <v>0.67</v>
      </c>
      <c r="E767" s="3">
        <v>1E-26</v>
      </c>
      <c r="F767">
        <v>28.09</v>
      </c>
      <c r="G767" t="str">
        <f>HYPERLINK("https://www.ncbi.nlm.nih.gov/nucleotide/AP007157.1?report=genbank&amp;log$=nucltop&amp;blast_rank=85&amp;RID=29W27GSD016","AP007157.1")</f>
        <v>AP007157.1</v>
      </c>
    </row>
    <row r="768" spans="1:7" x14ac:dyDescent="0.35">
      <c r="A768" t="s">
        <v>89</v>
      </c>
      <c r="B768">
        <v>145</v>
      </c>
      <c r="C768">
        <v>145</v>
      </c>
      <c r="D768" s="2">
        <v>0.69</v>
      </c>
      <c r="E768" s="3">
        <v>5.0000000000000003E-33</v>
      </c>
      <c r="F768">
        <v>27.98</v>
      </c>
      <c r="G768" t="str">
        <f>HYPERLINK("https://www.ncbi.nlm.nih.gov/nucleotide/XM_024828224.1?report=genbank&amp;log$=nucltop&amp;blast_rank=86&amp;RID=29W27GSD016","XM_024828224.1")</f>
        <v>XM_024828224.1</v>
      </c>
    </row>
    <row r="769" spans="1:7" x14ac:dyDescent="0.35">
      <c r="A769" t="s">
        <v>82</v>
      </c>
      <c r="B769">
        <v>134</v>
      </c>
      <c r="C769">
        <v>134</v>
      </c>
      <c r="D769" s="2">
        <v>0.61</v>
      </c>
      <c r="E769" s="3">
        <v>2.9999999999999999E-30</v>
      </c>
      <c r="F769">
        <v>27.95</v>
      </c>
      <c r="G769" t="str">
        <f>HYPERLINK("https://www.ncbi.nlm.nih.gov/nucleotide/XM_033601052.1?report=genbank&amp;log$=nucltop&amp;blast_rank=87&amp;RID=29W27GSD016","XM_033601052.1")</f>
        <v>XM_033601052.1</v>
      </c>
    </row>
    <row r="770" spans="1:7" x14ac:dyDescent="0.35">
      <c r="A770" s="4" t="s">
        <v>47</v>
      </c>
      <c r="B770" s="4">
        <v>164</v>
      </c>
      <c r="C770" s="4">
        <v>164</v>
      </c>
      <c r="D770" s="5">
        <v>0.72</v>
      </c>
      <c r="E770" s="6">
        <v>4.9999999999999996E-40</v>
      </c>
      <c r="F770" s="4">
        <v>27.75</v>
      </c>
      <c r="G770" s="4" t="str">
        <f>HYPERLINK("https://www.ncbi.nlm.nih.gov/nucleotide/XM_032089869.1?report=genbank&amp;log$=nucltop&amp;blast_rank=88&amp;RID=29W27GSD016","XM_032089869.1")</f>
        <v>XM_032089869.1</v>
      </c>
    </row>
    <row r="771" spans="1:7" x14ac:dyDescent="0.35">
      <c r="A771" t="s">
        <v>98</v>
      </c>
      <c r="B771">
        <v>129</v>
      </c>
      <c r="C771">
        <v>232</v>
      </c>
      <c r="D771" s="2">
        <v>0.72</v>
      </c>
      <c r="E771" s="3">
        <v>3.0000000000000001E-27</v>
      </c>
      <c r="F771">
        <v>27.73</v>
      </c>
      <c r="G771" t="str">
        <f>HYPERLINK("https://www.ncbi.nlm.nih.gov/nucleotide/XM_026749516.1?report=genbank&amp;log$=nucltop&amp;blast_rank=89&amp;RID=29W27GSD016","XM_026749516.1")</f>
        <v>XM_026749516.1</v>
      </c>
    </row>
    <row r="772" spans="1:7" x14ac:dyDescent="0.35">
      <c r="A772" s="4" t="s">
        <v>55</v>
      </c>
      <c r="B772" s="4">
        <v>171</v>
      </c>
      <c r="C772" s="4">
        <v>171</v>
      </c>
      <c r="D772" s="5">
        <v>0.74</v>
      </c>
      <c r="E772" s="6">
        <v>3.0000000000000003E-42</v>
      </c>
      <c r="F772" s="4">
        <v>27.64</v>
      </c>
      <c r="G772" s="4" t="str">
        <f>HYPERLINK("https://www.ncbi.nlm.nih.gov/nucleotide/XM_032074407.1?report=genbank&amp;log$=nucltop&amp;blast_rank=90&amp;RID=29W27GSD016","XM_032074407.1")</f>
        <v>XM_032074407.1</v>
      </c>
    </row>
    <row r="773" spans="1:7" x14ac:dyDescent="0.35">
      <c r="A773" t="s">
        <v>97</v>
      </c>
      <c r="B773">
        <v>150</v>
      </c>
      <c r="C773">
        <v>150</v>
      </c>
      <c r="D773" s="2">
        <v>0.69</v>
      </c>
      <c r="E773" s="3">
        <v>5.9999999999999998E-35</v>
      </c>
      <c r="F773">
        <v>27.6</v>
      </c>
      <c r="G773" t="str">
        <f>HYPERLINK("https://www.ncbi.nlm.nih.gov/nucleotide/XM_035484606.1?report=genbank&amp;log$=nucltop&amp;blast_rank=91&amp;RID=29W27GSD016","XM_035484606.1")</f>
        <v>XM_035484606.1</v>
      </c>
    </row>
    <row r="774" spans="1:7" x14ac:dyDescent="0.35">
      <c r="A774" t="s">
        <v>40</v>
      </c>
      <c r="B774">
        <v>167</v>
      </c>
      <c r="C774">
        <v>167</v>
      </c>
      <c r="D774" s="2">
        <v>0.74</v>
      </c>
      <c r="E774" s="3">
        <v>6.9999999999999999E-41</v>
      </c>
      <c r="F774">
        <v>27.58</v>
      </c>
      <c r="G774" t="str">
        <f>HYPERLINK("https://www.ncbi.nlm.nih.gov/nucleotide/XM_022531473.1?report=genbank&amp;log$=nucltop&amp;blast_rank=92&amp;RID=29W27GSD016","XM_022531473.1")</f>
        <v>XM_022531473.1</v>
      </c>
    </row>
    <row r="775" spans="1:7" x14ac:dyDescent="0.35">
      <c r="A775" t="s">
        <v>84</v>
      </c>
      <c r="B775">
        <v>161</v>
      </c>
      <c r="C775">
        <v>161</v>
      </c>
      <c r="D775" s="2">
        <v>0.72</v>
      </c>
      <c r="E775" s="3">
        <v>9.0000000000000002E-39</v>
      </c>
      <c r="F775">
        <v>27.44</v>
      </c>
      <c r="G775" t="str">
        <f>HYPERLINK("https://www.ncbi.nlm.nih.gov/nucleotide/XM_023599633.1?report=genbank&amp;log$=nucltop&amp;blast_rank=93&amp;RID=29W27GSD016","XM_023599633.1")</f>
        <v>XM_023599633.1</v>
      </c>
    </row>
    <row r="776" spans="1:7" x14ac:dyDescent="0.35">
      <c r="A776" t="s">
        <v>78</v>
      </c>
      <c r="B776">
        <v>125</v>
      </c>
      <c r="C776">
        <v>125</v>
      </c>
      <c r="D776" s="2">
        <v>0.72</v>
      </c>
      <c r="E776" s="3">
        <v>2.0000000000000001E-27</v>
      </c>
      <c r="F776">
        <v>27.25</v>
      </c>
      <c r="G776" t="str">
        <f>HYPERLINK("https://www.ncbi.nlm.nih.gov/nucleotide/XM_001262909.1?report=genbank&amp;log$=nucltop&amp;blast_rank=94&amp;RID=29W27GSD016","XM_001262909.1")</f>
        <v>XM_001262909.1</v>
      </c>
    </row>
    <row r="777" spans="1:7" x14ac:dyDescent="0.35">
      <c r="A777" t="s">
        <v>64</v>
      </c>
      <c r="B777">
        <v>140</v>
      </c>
      <c r="C777">
        <v>140</v>
      </c>
      <c r="D777" s="2">
        <v>0.74</v>
      </c>
      <c r="E777" s="3">
        <v>4.0000000000000003E-31</v>
      </c>
      <c r="F777">
        <v>27.05</v>
      </c>
      <c r="G777" t="str">
        <f>HYPERLINK("https://www.ncbi.nlm.nih.gov/nucleotide/XM_025524425.1?report=genbank&amp;log$=nucltop&amp;blast_rank=95&amp;RID=29W27GSD016","XM_025524425.1")</f>
        <v>XM_025524425.1</v>
      </c>
    </row>
    <row r="778" spans="1:7" x14ac:dyDescent="0.35">
      <c r="A778" t="s">
        <v>71</v>
      </c>
      <c r="B778">
        <v>135</v>
      </c>
      <c r="C778">
        <v>135</v>
      </c>
      <c r="D778" s="2">
        <v>0.72</v>
      </c>
      <c r="E778" s="3">
        <v>9.9999999999999994E-30</v>
      </c>
      <c r="F778">
        <v>26.98</v>
      </c>
      <c r="G778" t="str">
        <f>HYPERLINK("https://www.ncbi.nlm.nih.gov/nucleotide/XM_025658697.1?report=genbank&amp;log$=nucltop&amp;blast_rank=96&amp;RID=29W27GSD016","XM_025658697.1")</f>
        <v>XM_025658697.1</v>
      </c>
    </row>
    <row r="779" spans="1:7" x14ac:dyDescent="0.35">
      <c r="A779" t="s">
        <v>87</v>
      </c>
      <c r="B779">
        <v>136</v>
      </c>
      <c r="C779">
        <v>136</v>
      </c>
      <c r="D779" s="2">
        <v>0.69</v>
      </c>
      <c r="E779" s="3">
        <v>1.9999999999999999E-29</v>
      </c>
      <c r="F779">
        <v>26.39</v>
      </c>
      <c r="G779" t="str">
        <f>HYPERLINK("https://www.ncbi.nlm.nih.gov/nucleotide/XM_007819030.2?report=genbank&amp;log$=nucltop&amp;blast_rank=97&amp;RID=29W27GSD016","XM_007819030.2")</f>
        <v>XM_007819030.2</v>
      </c>
    </row>
    <row r="780" spans="1:7" x14ac:dyDescent="0.35">
      <c r="A780" t="s">
        <v>86</v>
      </c>
      <c r="B780">
        <v>127</v>
      </c>
      <c r="C780">
        <v>165</v>
      </c>
      <c r="D780" s="2">
        <v>0.7</v>
      </c>
      <c r="E780" s="3">
        <v>2.0000000000000002E-30</v>
      </c>
      <c r="F780">
        <v>26.38</v>
      </c>
      <c r="G780" t="str">
        <f>HYPERLINK("https://www.ncbi.nlm.nih.gov/nucleotide/AM920428.1?report=genbank&amp;log$=nucltop&amp;blast_rank=98&amp;RID=29W27GSD016","AM920428.1")</f>
        <v>AM920428.1</v>
      </c>
    </row>
    <row r="781" spans="1:7" x14ac:dyDescent="0.35">
      <c r="A781" t="s">
        <v>96</v>
      </c>
      <c r="B781">
        <v>129</v>
      </c>
      <c r="C781">
        <v>129</v>
      </c>
      <c r="D781" s="2">
        <v>0.72</v>
      </c>
      <c r="E781" s="3">
        <v>2.0000000000000001E-27</v>
      </c>
      <c r="F781">
        <v>26.06</v>
      </c>
      <c r="G781" t="str">
        <f>HYPERLINK("https://www.ncbi.nlm.nih.gov/nucleotide/XM_026772820.1?report=genbank&amp;log$=nucltop&amp;blast_rank=99&amp;RID=29W27GSD016","XM_026772820.1")</f>
        <v>XM_026772820.1</v>
      </c>
    </row>
    <row r="782" spans="1:7" x14ac:dyDescent="0.35">
      <c r="A782" s="4" t="s">
        <v>99</v>
      </c>
      <c r="B782" s="4">
        <v>133</v>
      </c>
      <c r="C782" s="4">
        <v>133</v>
      </c>
      <c r="D782" s="5">
        <v>0.69</v>
      </c>
      <c r="E782" s="6">
        <v>9.9999999999999997E-29</v>
      </c>
      <c r="F782" s="4">
        <v>25.78</v>
      </c>
      <c r="G782" s="4" t="str">
        <f>HYPERLINK("https://www.ncbi.nlm.nih.gov/nucleotide/XM_014687487.1?report=genbank&amp;log$=nucltop&amp;blast_rank=100&amp;RID=29W27GSD016","XM_014687487.1")</f>
        <v>XM_014687487.1</v>
      </c>
    </row>
    <row r="783" spans="1:7" x14ac:dyDescent="0.35">
      <c r="A783" s="1" t="s">
        <v>1395</v>
      </c>
    </row>
    <row r="784" spans="1:7" x14ac:dyDescent="0.35">
      <c r="A784" s="1" t="s">
        <v>2</v>
      </c>
      <c r="B784" s="1" t="s">
        <v>3</v>
      </c>
      <c r="C784" s="1" t="s">
        <v>4</v>
      </c>
      <c r="D784" s="1" t="s">
        <v>5</v>
      </c>
      <c r="E784" s="1" t="s">
        <v>6</v>
      </c>
      <c r="F784" s="1" t="s">
        <v>7</v>
      </c>
      <c r="G784" s="1" t="s">
        <v>8</v>
      </c>
    </row>
    <row r="785" spans="1:7" x14ac:dyDescent="0.35">
      <c r="A785" t="s">
        <v>37</v>
      </c>
      <c r="B785">
        <v>210</v>
      </c>
      <c r="C785">
        <v>850</v>
      </c>
      <c r="D785" s="2">
        <v>0.66</v>
      </c>
      <c r="E785" s="3">
        <v>1.9999999999999999E-94</v>
      </c>
      <c r="F785">
        <v>94.23</v>
      </c>
      <c r="G785" t="str">
        <f>HYPERLINK("https://www.ncbi.nlm.nih.gov/nucleotide/LR732085.1?report=genbank&amp;log$=nucltop&amp;blast_rank=1&amp;RID=29W41E4T013","LR732085.1")</f>
        <v>LR732085.1</v>
      </c>
    </row>
    <row r="786" spans="1:7" x14ac:dyDescent="0.35">
      <c r="A786" t="s">
        <v>381</v>
      </c>
      <c r="B786">
        <v>142</v>
      </c>
      <c r="C786">
        <v>239</v>
      </c>
      <c r="D786" s="2">
        <v>0.36</v>
      </c>
      <c r="E786" s="3">
        <v>6.0000000000000001E-32</v>
      </c>
      <c r="F786">
        <v>61.32</v>
      </c>
      <c r="G786" t="str">
        <f>HYPERLINK("https://www.ncbi.nlm.nih.gov/nucleotide/CP068008.1?report=genbank&amp;log$=nucltop&amp;blast_rank=2&amp;RID=29W41E4T013","CP068008.1")</f>
        <v>CP068008.1</v>
      </c>
    </row>
    <row r="787" spans="1:7" x14ac:dyDescent="0.35">
      <c r="A787" t="s">
        <v>388</v>
      </c>
      <c r="B787">
        <v>273</v>
      </c>
      <c r="C787">
        <v>273</v>
      </c>
      <c r="D787" s="2">
        <v>0.5</v>
      </c>
      <c r="E787" s="3">
        <v>1.9999999999999999E-80</v>
      </c>
      <c r="F787">
        <v>58.72</v>
      </c>
      <c r="G787" t="str">
        <f>HYPERLINK("https://www.ncbi.nlm.nih.gov/nucleotide/XM_003026031.1?report=genbank&amp;log$=nucltop&amp;blast_rank=3&amp;RID=29W41E4T013","XM_003026031.1")</f>
        <v>XM_003026031.1</v>
      </c>
    </row>
    <row r="788" spans="1:7" x14ac:dyDescent="0.35">
      <c r="A788" t="s">
        <v>380</v>
      </c>
      <c r="B788">
        <v>139</v>
      </c>
      <c r="C788">
        <v>238</v>
      </c>
      <c r="D788" s="2">
        <v>0.36</v>
      </c>
      <c r="E788" s="3">
        <v>6.9999999999999997E-31</v>
      </c>
      <c r="F788">
        <v>58.18</v>
      </c>
      <c r="G788" t="str">
        <f>HYPERLINK("https://www.ncbi.nlm.nih.gov/nucleotide/AC277528.1?report=genbank&amp;log$=nucltop&amp;blast_rank=4&amp;RID=29W41E4T013","AC277528.1")</f>
        <v>AC277528.1</v>
      </c>
    </row>
    <row r="789" spans="1:7" x14ac:dyDescent="0.35">
      <c r="A789" t="s">
        <v>386</v>
      </c>
      <c r="B789">
        <v>122</v>
      </c>
      <c r="C789">
        <v>122</v>
      </c>
      <c r="D789" s="2">
        <v>0.19</v>
      </c>
      <c r="E789" s="3">
        <v>3E-28</v>
      </c>
      <c r="F789">
        <v>55.65</v>
      </c>
      <c r="G789" t="str">
        <f>HYPERLINK("https://www.ncbi.nlm.nih.gov/nucleotide/LC002234.1?report=genbank&amp;log$=nucltop&amp;blast_rank=5&amp;RID=29W41E4T013","LC002234.1")</f>
        <v>LC002234.1</v>
      </c>
    </row>
    <row r="790" spans="1:7" x14ac:dyDescent="0.35">
      <c r="A790" t="s">
        <v>387</v>
      </c>
      <c r="B790">
        <v>122</v>
      </c>
      <c r="C790">
        <v>122</v>
      </c>
      <c r="D790" s="2">
        <v>0.19</v>
      </c>
      <c r="E790" s="3">
        <v>3.9999999999999999E-28</v>
      </c>
      <c r="F790">
        <v>55.65</v>
      </c>
      <c r="G790" t="str">
        <f>HYPERLINK("https://www.ncbi.nlm.nih.gov/nucleotide/LC002235.1?report=genbank&amp;log$=nucltop&amp;blast_rank=6&amp;RID=29W41E4T013","LC002235.1")</f>
        <v>LC002235.1</v>
      </c>
    </row>
    <row r="791" spans="1:7" x14ac:dyDescent="0.35">
      <c r="A791" s="4" t="s">
        <v>390</v>
      </c>
      <c r="B791" s="4">
        <v>245</v>
      </c>
      <c r="C791" s="4">
        <v>245</v>
      </c>
      <c r="D791" s="5">
        <v>0.49</v>
      </c>
      <c r="E791" s="6">
        <v>3.0000000000000001E-73</v>
      </c>
      <c r="F791" s="4">
        <v>53.02</v>
      </c>
      <c r="G791" s="4" t="str">
        <f>HYPERLINK("https://www.ncbi.nlm.nih.gov/nucleotide/LR725265.1?report=genbank&amp;log$=nucltop&amp;blast_rank=7&amp;RID=29W41E4T013","LR725265.1")</f>
        <v>LR725265.1</v>
      </c>
    </row>
    <row r="792" spans="1:7" x14ac:dyDescent="0.35">
      <c r="A792" s="4" t="s">
        <v>394</v>
      </c>
      <c r="B792" s="4">
        <v>249</v>
      </c>
      <c r="C792" s="4">
        <v>249</v>
      </c>
      <c r="D792" s="5">
        <v>0.49</v>
      </c>
      <c r="E792" s="6">
        <v>9.9999999999999993E-77</v>
      </c>
      <c r="F792" s="4">
        <v>52.79</v>
      </c>
      <c r="G792" s="4" t="str">
        <f>HYPERLINK("https://www.ncbi.nlm.nih.gov/nucleotide/XM_007872033.1?report=genbank&amp;log$=nucltop&amp;blast_rank=8&amp;RID=29W41E4T013","XM_007872033.1")</f>
        <v>XM_007872033.1</v>
      </c>
    </row>
    <row r="793" spans="1:7" x14ac:dyDescent="0.35">
      <c r="A793" t="s">
        <v>391</v>
      </c>
      <c r="B793">
        <v>249</v>
      </c>
      <c r="C793">
        <v>249</v>
      </c>
      <c r="D793" s="2">
        <v>0.49</v>
      </c>
      <c r="E793" s="3">
        <v>2.9999999999999999E-75</v>
      </c>
      <c r="F793">
        <v>52.59</v>
      </c>
      <c r="G793" t="str">
        <f>HYPERLINK("https://www.ncbi.nlm.nih.gov/nucleotide/XM_024485421.1?report=genbank&amp;log$=nucltop&amp;blast_rank=9&amp;RID=29W41E4T013","XM_024485421.1")</f>
        <v>XM_024485421.1</v>
      </c>
    </row>
    <row r="794" spans="1:7" x14ac:dyDescent="0.35">
      <c r="A794" t="s">
        <v>389</v>
      </c>
      <c r="B794">
        <v>247</v>
      </c>
      <c r="C794">
        <v>247</v>
      </c>
      <c r="D794" s="2">
        <v>0.49</v>
      </c>
      <c r="E794" s="3">
        <v>1.9999999999999998E-71</v>
      </c>
      <c r="F794">
        <v>52.32</v>
      </c>
      <c r="G794" t="str">
        <f>HYPERLINK("https://www.ncbi.nlm.nih.gov/nucleotide/XM_001835018.2?report=genbank&amp;log$=nucltop&amp;blast_rank=10&amp;RID=29W41E4T013","XM_001835018.2")</f>
        <v>XM_001835018.2</v>
      </c>
    </row>
    <row r="795" spans="1:7" x14ac:dyDescent="0.35">
      <c r="A795" t="s">
        <v>403</v>
      </c>
      <c r="B795">
        <v>253</v>
      </c>
      <c r="C795">
        <v>253</v>
      </c>
      <c r="D795" s="2">
        <v>0.5</v>
      </c>
      <c r="E795" s="3">
        <v>2.9999999999999999E-75</v>
      </c>
      <c r="F795">
        <v>52.14</v>
      </c>
      <c r="G795" t="str">
        <f>HYPERLINK("https://www.ncbi.nlm.nih.gov/nucleotide/XM_037362770.1?report=genbank&amp;log$=nucltop&amp;blast_rank=11&amp;RID=29W41E4T013","XM_037362770.1")</f>
        <v>XM_037362770.1</v>
      </c>
    </row>
    <row r="796" spans="1:7" x14ac:dyDescent="0.35">
      <c r="A796" s="4" t="s">
        <v>392</v>
      </c>
      <c r="B796" s="4">
        <v>242</v>
      </c>
      <c r="C796" s="4">
        <v>242</v>
      </c>
      <c r="D796" s="5">
        <v>0.49</v>
      </c>
      <c r="E796" s="6">
        <v>2E-73</v>
      </c>
      <c r="F796" s="4">
        <v>51.72</v>
      </c>
      <c r="G796" s="4" t="str">
        <f>HYPERLINK("https://www.ncbi.nlm.nih.gov/nucleotide/XM_007363371.1?report=genbank&amp;log$=nucltop&amp;blast_rank=12&amp;RID=29W41E4T013","XM_007363371.1")</f>
        <v>XM_007363371.1</v>
      </c>
    </row>
    <row r="797" spans="1:7" x14ac:dyDescent="0.35">
      <c r="A797" s="4" t="s">
        <v>395</v>
      </c>
      <c r="B797" s="4">
        <v>251</v>
      </c>
      <c r="C797" s="4">
        <v>251</v>
      </c>
      <c r="D797" s="5">
        <v>0.49</v>
      </c>
      <c r="E797" s="6">
        <v>4.9999999999999996E-77</v>
      </c>
      <c r="F797" s="4">
        <v>51.29</v>
      </c>
      <c r="G797" s="4" t="str">
        <f>HYPERLINK("https://www.ncbi.nlm.nih.gov/nucleotide/XM_008043200.1?report=genbank&amp;log$=nucltop&amp;blast_rank=13&amp;RID=29W41E4T013","XM_008043200.1")</f>
        <v>XM_008043200.1</v>
      </c>
    </row>
    <row r="798" spans="1:7" x14ac:dyDescent="0.35">
      <c r="A798" t="s">
        <v>21</v>
      </c>
      <c r="B798">
        <v>236</v>
      </c>
      <c r="C798">
        <v>236</v>
      </c>
      <c r="D798" s="2">
        <v>0.49</v>
      </c>
      <c r="E798" s="3">
        <v>6.9999999999999998E-71</v>
      </c>
      <c r="F798">
        <v>50.86</v>
      </c>
      <c r="G798" t="str">
        <f>HYPERLINK("https://www.ncbi.nlm.nih.gov/nucleotide/XM_009554316.1?report=genbank&amp;log$=nucltop&amp;blast_rank=14&amp;RID=29W41E4T013","XM_009554316.1")</f>
        <v>XM_009554316.1</v>
      </c>
    </row>
    <row r="799" spans="1:7" x14ac:dyDescent="0.35">
      <c r="A799" s="4" t="s">
        <v>393</v>
      </c>
      <c r="B799" s="4">
        <v>239</v>
      </c>
      <c r="C799" s="4">
        <v>239</v>
      </c>
      <c r="D799" s="5">
        <v>0.5</v>
      </c>
      <c r="E799" s="6">
        <v>9.9999999999999996E-70</v>
      </c>
      <c r="F799" s="4">
        <v>50.42</v>
      </c>
      <c r="G799" s="4" t="str">
        <f>HYPERLINK("https://www.ncbi.nlm.nih.gov/nucleotide/XM_001879532.1?report=genbank&amp;log$=nucltop&amp;blast_rank=15&amp;RID=29W41E4T013","XM_001879532.1")</f>
        <v>XM_001879532.1</v>
      </c>
    </row>
    <row r="800" spans="1:7" x14ac:dyDescent="0.35">
      <c r="A800" t="s">
        <v>398</v>
      </c>
      <c r="B800">
        <v>239</v>
      </c>
      <c r="C800">
        <v>239</v>
      </c>
      <c r="D800" s="2">
        <v>0.49</v>
      </c>
      <c r="E800" s="3">
        <v>2.9999999999999999E-69</v>
      </c>
      <c r="F800">
        <v>49.79</v>
      </c>
      <c r="G800" t="str">
        <f>HYPERLINK("https://www.ncbi.nlm.nih.gov/nucleotide/XM_007306844.1?report=genbank&amp;log$=nucltop&amp;blast_rank=16&amp;RID=29W41E4T013","XM_007306844.1")</f>
        <v>XM_007306844.1</v>
      </c>
    </row>
    <row r="801" spans="1:7" x14ac:dyDescent="0.35">
      <c r="A801" t="s">
        <v>397</v>
      </c>
      <c r="B801">
        <v>248</v>
      </c>
      <c r="C801">
        <v>248</v>
      </c>
      <c r="D801" s="2">
        <v>0.56000000000000005</v>
      </c>
      <c r="E801" s="3">
        <v>1.9999999999999999E-74</v>
      </c>
      <c r="F801">
        <v>49.05</v>
      </c>
      <c r="G801" t="str">
        <f>HYPERLINK("https://www.ncbi.nlm.nih.gov/nucleotide/XM_007397903.1?report=genbank&amp;log$=nucltop&amp;blast_rank=17&amp;RID=29W41E4T013","XM_007397903.1")</f>
        <v>XM_007397903.1</v>
      </c>
    </row>
    <row r="802" spans="1:7" x14ac:dyDescent="0.35">
      <c r="A802" t="s">
        <v>396</v>
      </c>
      <c r="B802">
        <v>234</v>
      </c>
      <c r="C802">
        <v>234</v>
      </c>
      <c r="D802" s="2">
        <v>0.49</v>
      </c>
      <c r="E802" s="3">
        <v>4.9999999999999999E-67</v>
      </c>
      <c r="F802">
        <v>48.94</v>
      </c>
      <c r="G802" t="str">
        <f>HYPERLINK("https://www.ncbi.nlm.nih.gov/nucleotide/XM_027759476.1?report=genbank&amp;log$=nucltop&amp;blast_rank=18&amp;RID=29W41E4T013","XM_027759476.1")</f>
        <v>XM_027759476.1</v>
      </c>
    </row>
    <row r="803" spans="1:7" x14ac:dyDescent="0.35">
      <c r="A803" t="s">
        <v>383</v>
      </c>
      <c r="B803">
        <v>149</v>
      </c>
      <c r="C803">
        <v>243</v>
      </c>
      <c r="D803" s="2">
        <v>0.37</v>
      </c>
      <c r="E803" s="3">
        <v>1.9999999999999999E-34</v>
      </c>
      <c r="F803">
        <v>48.91</v>
      </c>
      <c r="G803" t="str">
        <f>HYPERLINK("https://www.ncbi.nlm.nih.gov/nucleotide/CP015481.1?report=genbank&amp;log$=nucltop&amp;blast_rank=19&amp;RID=29W41E4T013","CP015481.1")</f>
        <v>CP015481.1</v>
      </c>
    </row>
    <row r="804" spans="1:7" x14ac:dyDescent="0.35">
      <c r="A804" t="s">
        <v>384</v>
      </c>
      <c r="B804">
        <v>147</v>
      </c>
      <c r="C804">
        <v>241</v>
      </c>
      <c r="D804" s="2">
        <v>0.37</v>
      </c>
      <c r="E804" s="3">
        <v>9.0000000000000008E-34</v>
      </c>
      <c r="F804">
        <v>48.91</v>
      </c>
      <c r="G804" t="str">
        <f>HYPERLINK("https://www.ncbi.nlm.nih.gov/nucleotide/AC253760.1?report=genbank&amp;log$=nucltop&amp;blast_rank=20&amp;RID=29W41E4T013","AC253760.1")</f>
        <v>AC253760.1</v>
      </c>
    </row>
    <row r="805" spans="1:7" x14ac:dyDescent="0.35">
      <c r="A805" t="s">
        <v>385</v>
      </c>
      <c r="B805">
        <v>147</v>
      </c>
      <c r="C805">
        <v>241</v>
      </c>
      <c r="D805" s="2">
        <v>0.37</v>
      </c>
      <c r="E805" s="3">
        <v>1.0000000000000001E-33</v>
      </c>
      <c r="F805">
        <v>48.91</v>
      </c>
      <c r="G805" t="str">
        <f>HYPERLINK("https://www.ncbi.nlm.nih.gov/nucleotide/CP015468.1?report=genbank&amp;log$=nucltop&amp;blast_rank=21&amp;RID=29W41E4T013","CP015468.1")</f>
        <v>CP015468.1</v>
      </c>
    </row>
    <row r="806" spans="1:7" x14ac:dyDescent="0.35">
      <c r="A806" s="4" t="s">
        <v>399</v>
      </c>
      <c r="B806" s="4">
        <v>236</v>
      </c>
      <c r="C806" s="4">
        <v>236</v>
      </c>
      <c r="D806" s="5">
        <v>0.49</v>
      </c>
      <c r="E806" s="6">
        <v>4.9999999999999998E-70</v>
      </c>
      <c r="F806" s="4">
        <v>48.28</v>
      </c>
      <c r="G806" s="4" t="str">
        <f>HYPERLINK("https://www.ncbi.nlm.nih.gov/nucleotide/XM_007385455.1?report=genbank&amp;log$=nucltop&amp;blast_rank=22&amp;RID=29W41E4T013","XM_007385455.1")</f>
        <v>XM_007385455.1</v>
      </c>
    </row>
    <row r="807" spans="1:7" x14ac:dyDescent="0.35">
      <c r="A807" s="4" t="s">
        <v>400</v>
      </c>
      <c r="B807" s="4">
        <v>219</v>
      </c>
      <c r="C807" s="4">
        <v>219</v>
      </c>
      <c r="D807" s="5">
        <v>0.49</v>
      </c>
      <c r="E807" s="6">
        <v>9.9999999999999997E-61</v>
      </c>
      <c r="F807" s="4">
        <v>47.86</v>
      </c>
      <c r="G807" s="4" t="str">
        <f>HYPERLINK("https://www.ncbi.nlm.nih.gov/nucleotide/XM_007262375.1?report=genbank&amp;log$=nucltop&amp;blast_rank=23&amp;RID=29W41E4T013","XM_007262375.1")</f>
        <v>XM_007262375.1</v>
      </c>
    </row>
    <row r="808" spans="1:7" x14ac:dyDescent="0.35">
      <c r="A808" t="s">
        <v>401</v>
      </c>
      <c r="B808">
        <v>227</v>
      </c>
      <c r="C808">
        <v>227</v>
      </c>
      <c r="D808" s="2">
        <v>0.49</v>
      </c>
      <c r="E808" s="3">
        <v>9.9999999999999997E-65</v>
      </c>
      <c r="F808">
        <v>47.19</v>
      </c>
      <c r="G808" t="str">
        <f>HYPERLINK("https://www.ncbi.nlm.nih.gov/nucleotide/XM_006455985.1?report=genbank&amp;log$=nucltop&amp;blast_rank=24&amp;RID=29W41E4T013","XM_006455985.1")</f>
        <v>XM_006455985.1</v>
      </c>
    </row>
    <row r="809" spans="1:7" x14ac:dyDescent="0.35">
      <c r="A809" t="s">
        <v>402</v>
      </c>
      <c r="B809">
        <v>227</v>
      </c>
      <c r="C809">
        <v>227</v>
      </c>
      <c r="D809" s="2">
        <v>0.49</v>
      </c>
      <c r="E809" s="3">
        <v>1.9999999999999999E-64</v>
      </c>
      <c r="F809">
        <v>47.19</v>
      </c>
      <c r="G809" t="str">
        <f>HYPERLINK("https://www.ncbi.nlm.nih.gov/nucleotide/XM_007331822.1?report=genbank&amp;log$=nucltop&amp;blast_rank=25&amp;RID=29W41E4T013","XM_007331822.1")</f>
        <v>XM_007331822.1</v>
      </c>
    </row>
    <row r="810" spans="1:7" x14ac:dyDescent="0.35">
      <c r="A810" s="4" t="s">
        <v>404</v>
      </c>
      <c r="B810" s="4">
        <v>197</v>
      </c>
      <c r="C810" s="4">
        <v>197</v>
      </c>
      <c r="D810" s="5">
        <v>0.44</v>
      </c>
      <c r="E810" s="6">
        <v>2.0000000000000001E-53</v>
      </c>
      <c r="F810" s="4">
        <v>45.89</v>
      </c>
      <c r="G810" s="4" t="str">
        <f>HYPERLINK("https://www.ncbi.nlm.nih.gov/nucleotide/XM_036771658.1?report=genbank&amp;log$=nucltop&amp;blast_rank=26&amp;RID=29W41E4T013","XM_036771658.1")</f>
        <v>XM_036771658.1</v>
      </c>
    </row>
    <row r="811" spans="1:7" x14ac:dyDescent="0.35">
      <c r="A811" t="s">
        <v>405</v>
      </c>
      <c r="B811">
        <v>224</v>
      </c>
      <c r="C811">
        <v>224</v>
      </c>
      <c r="D811" s="2">
        <v>0.49</v>
      </c>
      <c r="E811" s="3">
        <v>6.0000000000000004E-60</v>
      </c>
      <c r="F811">
        <v>45.49</v>
      </c>
      <c r="G811" t="str">
        <f>HYPERLINK("https://www.ncbi.nlm.nih.gov/nucleotide/CP019382.1?report=genbank&amp;log$=nucltop&amp;blast_rank=27&amp;RID=29W41E4T013","CP019382.1")</f>
        <v>CP019382.1</v>
      </c>
    </row>
    <row r="812" spans="1:7" x14ac:dyDescent="0.35">
      <c r="A812" s="4" t="s">
        <v>414</v>
      </c>
      <c r="B812" s="4">
        <v>174</v>
      </c>
      <c r="C812" s="4">
        <v>174</v>
      </c>
      <c r="D812" s="5">
        <v>0.49</v>
      </c>
      <c r="E812" s="6">
        <v>3.9999999999999999E-45</v>
      </c>
      <c r="F812" s="4">
        <v>44.59</v>
      </c>
      <c r="G812" s="4" t="str">
        <f>HYPERLINK("https://www.ncbi.nlm.nih.gov/nucleotide/XM_025507480.1?report=genbank&amp;log$=nucltop&amp;blast_rank=28&amp;RID=29W41E4T013","XM_025507480.1")</f>
        <v>XM_025507480.1</v>
      </c>
    </row>
    <row r="813" spans="1:7" x14ac:dyDescent="0.35">
      <c r="A813" t="s">
        <v>413</v>
      </c>
      <c r="B813">
        <v>171</v>
      </c>
      <c r="C813">
        <v>171</v>
      </c>
      <c r="D813" s="2">
        <v>0.49</v>
      </c>
      <c r="E813" s="3">
        <v>1E-41</v>
      </c>
      <c r="F813">
        <v>44.59</v>
      </c>
      <c r="G813" t="str">
        <f>HYPERLINK("https://www.ncbi.nlm.nih.gov/nucleotide/LT558130.1?report=genbank&amp;log$=nucltop&amp;blast_rank=29&amp;RID=29W41E4T013","LT558130.1")</f>
        <v>LT558130.1</v>
      </c>
    </row>
    <row r="814" spans="1:7" x14ac:dyDescent="0.35">
      <c r="A814" t="s">
        <v>428</v>
      </c>
      <c r="B814">
        <v>176</v>
      </c>
      <c r="C814">
        <v>176</v>
      </c>
      <c r="D814" s="2">
        <v>0.49</v>
      </c>
      <c r="E814" s="3">
        <v>7.0000000000000004E-46</v>
      </c>
      <c r="F814">
        <v>44.16</v>
      </c>
      <c r="G814" t="str">
        <f>HYPERLINK("https://www.ncbi.nlm.nih.gov/nucleotide/XM_011391860.1?report=genbank&amp;log$=nucltop&amp;blast_rank=30&amp;RID=29W41E4T013","XM_011391860.1")</f>
        <v>XM_011391860.1</v>
      </c>
    </row>
    <row r="815" spans="1:7" x14ac:dyDescent="0.35">
      <c r="A815" s="4" t="s">
        <v>434</v>
      </c>
      <c r="B815" s="4">
        <v>178</v>
      </c>
      <c r="C815" s="4">
        <v>178</v>
      </c>
      <c r="D815" s="5">
        <v>0.46</v>
      </c>
      <c r="E815" s="6">
        <v>4.9999999999999999E-46</v>
      </c>
      <c r="F815" s="4">
        <v>43.78</v>
      </c>
      <c r="G815" s="4" t="str">
        <f>HYPERLINK("https://www.ncbi.nlm.nih.gov/nucleotide/XM_014800184.1?report=genbank&amp;log$=nucltop&amp;blast_rank=31&amp;RID=29W41E4T013","XM_014800184.1")</f>
        <v>XM_014800184.1</v>
      </c>
    </row>
    <row r="816" spans="1:7" x14ac:dyDescent="0.35">
      <c r="A816" t="s">
        <v>185</v>
      </c>
      <c r="B816">
        <v>171</v>
      </c>
      <c r="C816">
        <v>171</v>
      </c>
      <c r="D816" s="2">
        <v>0.49</v>
      </c>
      <c r="E816" s="3">
        <v>4.9999999999999998E-45</v>
      </c>
      <c r="F816">
        <v>43.72</v>
      </c>
      <c r="G816" t="str">
        <f>HYPERLINK("https://www.ncbi.nlm.nih.gov/nucleotide/XM_007878763.1?report=genbank&amp;log$=nucltop&amp;blast_rank=32&amp;RID=29W41E4T013","XM_007878763.1")</f>
        <v>XM_007878763.1</v>
      </c>
    </row>
    <row r="817" spans="1:7" x14ac:dyDescent="0.35">
      <c r="A817" t="s">
        <v>170</v>
      </c>
      <c r="B817">
        <v>170</v>
      </c>
      <c r="C817">
        <v>170</v>
      </c>
      <c r="D817" s="2">
        <v>0.49</v>
      </c>
      <c r="E817" s="3">
        <v>1.0000000000000001E-43</v>
      </c>
      <c r="F817">
        <v>43.72</v>
      </c>
      <c r="G817" t="str">
        <f>HYPERLINK("https://www.ncbi.nlm.nih.gov/nucleotide/XM_012334052.1?report=genbank&amp;log$=nucltop&amp;blast_rank=33&amp;RID=29W41E4T013","XM_012334052.1")</f>
        <v>XM_012334052.1</v>
      </c>
    </row>
    <row r="818" spans="1:7" x14ac:dyDescent="0.35">
      <c r="A818" t="s">
        <v>183</v>
      </c>
      <c r="B818">
        <v>167</v>
      </c>
      <c r="C818">
        <v>167</v>
      </c>
      <c r="D818" s="2">
        <v>0.49</v>
      </c>
      <c r="E818" s="3">
        <v>2.0000000000000002E-43</v>
      </c>
      <c r="F818">
        <v>43.72</v>
      </c>
      <c r="G818" t="str">
        <f>HYPERLINK("https://www.ncbi.nlm.nih.gov/nucleotide/XM_016436758.1?report=genbank&amp;log$=nucltop&amp;blast_rank=34&amp;RID=29W41E4T013","XM_016436758.1")</f>
        <v>XM_016436758.1</v>
      </c>
    </row>
    <row r="819" spans="1:7" x14ac:dyDescent="0.35">
      <c r="A819" t="s">
        <v>430</v>
      </c>
      <c r="B819">
        <v>168</v>
      </c>
      <c r="C819">
        <v>168</v>
      </c>
      <c r="D819" s="2">
        <v>0.49</v>
      </c>
      <c r="E819" s="3">
        <v>9.9999999999999993E-41</v>
      </c>
      <c r="F819">
        <v>43.72</v>
      </c>
      <c r="G819" t="str">
        <f>HYPERLINK("https://www.ncbi.nlm.nih.gov/nucleotide/LT795063.1?report=genbank&amp;log$=nucltop&amp;blast_rank=35&amp;RID=29W41E4T013","LT795063.1")</f>
        <v>LT795063.1</v>
      </c>
    </row>
    <row r="820" spans="1:7" x14ac:dyDescent="0.35">
      <c r="A820" t="s">
        <v>429</v>
      </c>
      <c r="B820">
        <v>167</v>
      </c>
      <c r="C820">
        <v>167</v>
      </c>
      <c r="D820" s="2">
        <v>0.49</v>
      </c>
      <c r="E820" s="3">
        <v>9.9999999999999993E-41</v>
      </c>
      <c r="F820">
        <v>43.72</v>
      </c>
      <c r="G820" t="str">
        <f>HYPERLINK("https://www.ncbi.nlm.nih.gov/nucleotide/FQ311431.1?report=genbank&amp;log$=nucltop&amp;blast_rank=36&amp;RID=29W41E4T013","FQ311431.1")</f>
        <v>FQ311431.1</v>
      </c>
    </row>
    <row r="821" spans="1:7" x14ac:dyDescent="0.35">
      <c r="A821" t="s">
        <v>126</v>
      </c>
      <c r="B821">
        <v>194</v>
      </c>
      <c r="C821">
        <v>194</v>
      </c>
      <c r="D821" s="2">
        <v>0.49</v>
      </c>
      <c r="E821" s="3">
        <v>1E-51</v>
      </c>
      <c r="F821">
        <v>43.53</v>
      </c>
      <c r="G821" t="str">
        <f>HYPERLINK("https://www.ncbi.nlm.nih.gov/nucleotide/XM_007775763.1?report=genbank&amp;log$=nucltop&amp;blast_rank=37&amp;RID=29W41E4T013","XM_007775763.1")</f>
        <v>XM_007775763.1</v>
      </c>
    </row>
    <row r="822" spans="1:7" x14ac:dyDescent="0.35">
      <c r="A822" t="s">
        <v>421</v>
      </c>
      <c r="B822">
        <v>167</v>
      </c>
      <c r="C822">
        <v>167</v>
      </c>
      <c r="D822" s="2">
        <v>0.49</v>
      </c>
      <c r="E822" s="3">
        <v>8.0000000000000006E-43</v>
      </c>
      <c r="F822">
        <v>43.29</v>
      </c>
      <c r="G822" t="str">
        <f>HYPERLINK("https://www.ncbi.nlm.nih.gov/nucleotide/XM_029881727.1?report=genbank&amp;log$=nucltop&amp;blast_rank=38&amp;RID=29W41E4T013","XM_029881727.1")</f>
        <v>XM_029881727.1</v>
      </c>
    </row>
    <row r="823" spans="1:7" x14ac:dyDescent="0.35">
      <c r="A823" t="s">
        <v>422</v>
      </c>
      <c r="B823">
        <v>166</v>
      </c>
      <c r="C823">
        <v>166</v>
      </c>
      <c r="D823" s="2">
        <v>0.49</v>
      </c>
      <c r="E823" s="3">
        <v>6.0000000000000004E-40</v>
      </c>
      <c r="F823">
        <v>43.29</v>
      </c>
      <c r="G823" t="str">
        <f>HYPERLINK("https://www.ncbi.nlm.nih.gov/nucleotide/HG529735.1?report=genbank&amp;log$=nucltop&amp;blast_rank=39&amp;RID=29W41E4T013","HG529735.1")</f>
        <v>HG529735.1</v>
      </c>
    </row>
    <row r="824" spans="1:7" x14ac:dyDescent="0.35">
      <c r="A824" t="s">
        <v>423</v>
      </c>
      <c r="B824">
        <v>164</v>
      </c>
      <c r="C824">
        <v>164</v>
      </c>
      <c r="D824" s="2">
        <v>0.49</v>
      </c>
      <c r="E824" s="3">
        <v>1.9999999999999999E-39</v>
      </c>
      <c r="F824">
        <v>43.29</v>
      </c>
      <c r="G824" t="str">
        <f>HYPERLINK("https://www.ncbi.nlm.nih.gov/nucleotide/LK056684.1?report=genbank&amp;log$=nucltop&amp;blast_rank=40&amp;RID=29W41E4T013","LK056684.1")</f>
        <v>LK056684.1</v>
      </c>
    </row>
    <row r="825" spans="1:7" x14ac:dyDescent="0.35">
      <c r="A825" t="s">
        <v>424</v>
      </c>
      <c r="B825">
        <v>164</v>
      </c>
      <c r="C825">
        <v>164</v>
      </c>
      <c r="D825" s="2">
        <v>0.49</v>
      </c>
      <c r="E825" s="3">
        <v>1.9999999999999999E-39</v>
      </c>
      <c r="F825">
        <v>43.29</v>
      </c>
      <c r="G825" t="str">
        <f>HYPERLINK("https://www.ncbi.nlm.nih.gov/nucleotide/CP010927.1?report=genbank&amp;log$=nucltop&amp;blast_rank=41&amp;RID=29W41E4T013","CP010927.1")</f>
        <v>CP010927.1</v>
      </c>
    </row>
    <row r="826" spans="1:7" x14ac:dyDescent="0.35">
      <c r="A826" t="s">
        <v>432</v>
      </c>
      <c r="B826">
        <v>180</v>
      </c>
      <c r="C826">
        <v>180</v>
      </c>
      <c r="D826" s="2">
        <v>0.49</v>
      </c>
      <c r="E826" s="3">
        <v>9.9999999999999997E-48</v>
      </c>
      <c r="F826">
        <v>42.86</v>
      </c>
      <c r="G826" t="str">
        <f>HYPERLINK("https://www.ncbi.nlm.nih.gov/nucleotide/XM_013385617.1?report=genbank&amp;log$=nucltop&amp;blast_rank=42&amp;RID=29W41E4T013","XM_013385617.1")</f>
        <v>XM_013385617.1</v>
      </c>
    </row>
    <row r="827" spans="1:7" x14ac:dyDescent="0.35">
      <c r="A827" t="s">
        <v>415</v>
      </c>
      <c r="B827">
        <v>179</v>
      </c>
      <c r="C827">
        <v>179</v>
      </c>
      <c r="D827" s="2">
        <v>0.5</v>
      </c>
      <c r="E827" s="3">
        <v>3.9999999999999999E-47</v>
      </c>
      <c r="F827">
        <v>42.8</v>
      </c>
      <c r="G827" t="str">
        <f>HYPERLINK("https://www.ncbi.nlm.nih.gov/nucleotide/XM_019155149.1?report=genbank&amp;log$=nucltop&amp;blast_rank=43&amp;RID=29W41E4T013","XM_019155149.1")</f>
        <v>XM_019155149.1</v>
      </c>
    </row>
    <row r="828" spans="1:7" x14ac:dyDescent="0.35">
      <c r="A828" t="s">
        <v>416</v>
      </c>
      <c r="B828">
        <v>179</v>
      </c>
      <c r="C828">
        <v>179</v>
      </c>
      <c r="D828" s="2">
        <v>0.5</v>
      </c>
      <c r="E828" s="3">
        <v>5.0000000000000001E-47</v>
      </c>
      <c r="F828">
        <v>42.8</v>
      </c>
      <c r="G828" t="str">
        <f>HYPERLINK("https://www.ncbi.nlm.nih.gov/nucleotide/XM_018409022.1?report=genbank&amp;log$=nucltop&amp;blast_rank=44&amp;RID=29W41E4T013","XM_018409022.1")</f>
        <v>XM_018409022.1</v>
      </c>
    </row>
    <row r="829" spans="1:7" x14ac:dyDescent="0.35">
      <c r="A829" t="s">
        <v>407</v>
      </c>
      <c r="B829">
        <v>177</v>
      </c>
      <c r="C829">
        <v>177</v>
      </c>
      <c r="D829" s="2">
        <v>0.5</v>
      </c>
      <c r="E829" s="3">
        <v>7.0000000000000001E-49</v>
      </c>
      <c r="F829">
        <v>42.37</v>
      </c>
      <c r="G829" t="str">
        <f>HYPERLINK("https://www.ncbi.nlm.nih.gov/nucleotide/XM_018424900.1?report=genbank&amp;log$=nucltop&amp;blast_rank=45&amp;RID=29W41E4T013","XM_018424900.1")</f>
        <v>XM_018424900.1</v>
      </c>
    </row>
    <row r="830" spans="1:7" x14ac:dyDescent="0.35">
      <c r="A830" s="4" t="s">
        <v>412</v>
      </c>
      <c r="B830" s="4">
        <v>176</v>
      </c>
      <c r="C830" s="4">
        <v>176</v>
      </c>
      <c r="D830" s="5">
        <v>0.49</v>
      </c>
      <c r="E830" s="6">
        <v>8.0000000000000002E-46</v>
      </c>
      <c r="F830" s="4">
        <v>42.31</v>
      </c>
      <c r="G830" s="4" t="str">
        <f>HYPERLINK("https://www.ncbi.nlm.nih.gov/nucleotide/XM_019193050.1?report=genbank&amp;log$=nucltop&amp;blast_rank=46&amp;RID=29W41E4T013","XM_019193050.1")</f>
        <v>XM_019193050.1</v>
      </c>
    </row>
    <row r="831" spans="1:7" x14ac:dyDescent="0.35">
      <c r="A831" t="s">
        <v>406</v>
      </c>
      <c r="B831">
        <v>189</v>
      </c>
      <c r="C831">
        <v>189</v>
      </c>
      <c r="D831" s="2">
        <v>0.49</v>
      </c>
      <c r="E831" s="3">
        <v>1E-50</v>
      </c>
      <c r="F831">
        <v>41.99</v>
      </c>
      <c r="G831" t="str">
        <f>HYPERLINK("https://www.ncbi.nlm.nih.gov/nucleotide/XM_039056251.1?report=genbank&amp;log$=nucltop&amp;blast_rank=47&amp;RID=29W41E4T013","XM_039056251.1")</f>
        <v>XM_039056251.1</v>
      </c>
    </row>
    <row r="832" spans="1:7" x14ac:dyDescent="0.35">
      <c r="A832" t="s">
        <v>442</v>
      </c>
      <c r="B832">
        <v>179</v>
      </c>
      <c r="C832">
        <v>179</v>
      </c>
      <c r="D832" s="2">
        <v>0.49</v>
      </c>
      <c r="E832" s="3">
        <v>2E-45</v>
      </c>
      <c r="F832">
        <v>41.99</v>
      </c>
      <c r="G832" t="str">
        <f>HYPERLINK("https://www.ncbi.nlm.nih.gov/nucleotide/XM_025513131.1?report=genbank&amp;log$=nucltop&amp;blast_rank=48&amp;RID=29W41E4T013","XM_025513131.1")</f>
        <v>XM_025513131.1</v>
      </c>
    </row>
    <row r="833" spans="1:7" x14ac:dyDescent="0.35">
      <c r="A833" s="4" t="s">
        <v>420</v>
      </c>
      <c r="B833" s="4">
        <v>174</v>
      </c>
      <c r="C833" s="4">
        <v>174</v>
      </c>
      <c r="D833" s="5">
        <v>0.5</v>
      </c>
      <c r="E833" s="6">
        <v>4.9999999999999998E-45</v>
      </c>
      <c r="F833" s="4">
        <v>41.95</v>
      </c>
      <c r="G833" s="4" t="str">
        <f>HYPERLINK("https://www.ncbi.nlm.nih.gov/nucleotide/XM_019143722.1?report=genbank&amp;log$=nucltop&amp;blast_rank=49&amp;RID=29W41E4T013","XM_019143722.1")</f>
        <v>XM_019143722.1</v>
      </c>
    </row>
    <row r="834" spans="1:7" x14ac:dyDescent="0.35">
      <c r="A834" t="s">
        <v>427</v>
      </c>
      <c r="B834">
        <v>178</v>
      </c>
      <c r="C834">
        <v>178</v>
      </c>
      <c r="D834" s="2">
        <v>0.5</v>
      </c>
      <c r="E834" s="3">
        <v>2.9999999999999999E-46</v>
      </c>
      <c r="F834">
        <v>41.53</v>
      </c>
      <c r="G834" t="str">
        <f>HYPERLINK("https://www.ncbi.nlm.nih.gov/nucleotide/XM_019138643.1?report=genbank&amp;log$=nucltop&amp;blast_rank=50&amp;RID=29W41E4T013","XM_019138643.1")</f>
        <v>XM_019138643.1</v>
      </c>
    </row>
    <row r="835" spans="1:7" x14ac:dyDescent="0.35">
      <c r="A835" t="s">
        <v>435</v>
      </c>
      <c r="B835">
        <v>169</v>
      </c>
      <c r="C835">
        <v>169</v>
      </c>
      <c r="D835" s="2">
        <v>0.49</v>
      </c>
      <c r="E835" s="3">
        <v>6.9999999999999999E-43</v>
      </c>
      <c r="F835">
        <v>41.32</v>
      </c>
      <c r="G835" t="str">
        <f>HYPERLINK("https://www.ncbi.nlm.nih.gov/nucleotide/XM_003319999.2?report=genbank&amp;log$=nucltop&amp;blast_rank=51&amp;RID=29W41E4T013","XM_003319999.2")</f>
        <v>XM_003319999.2</v>
      </c>
    </row>
    <row r="836" spans="1:7" x14ac:dyDescent="0.35">
      <c r="A836" t="s">
        <v>436</v>
      </c>
      <c r="B836">
        <v>169</v>
      </c>
      <c r="C836">
        <v>169</v>
      </c>
      <c r="D836" s="2">
        <v>0.49</v>
      </c>
      <c r="E836" s="3">
        <v>5E-42</v>
      </c>
      <c r="F836">
        <v>41.32</v>
      </c>
      <c r="G836" t="str">
        <f>HYPERLINK("https://www.ncbi.nlm.nih.gov/nucleotide/XM_003337970.2?report=genbank&amp;log$=nucltop&amp;blast_rank=52&amp;RID=29W41E4T013","XM_003337970.2")</f>
        <v>XM_003337970.2</v>
      </c>
    </row>
    <row r="837" spans="1:7" x14ac:dyDescent="0.35">
      <c r="A837" t="s">
        <v>408</v>
      </c>
      <c r="B837">
        <v>169</v>
      </c>
      <c r="C837">
        <v>169</v>
      </c>
      <c r="D837" s="2">
        <v>0.49</v>
      </c>
      <c r="E837" s="3">
        <v>3E-43</v>
      </c>
      <c r="F837">
        <v>41.28</v>
      </c>
      <c r="G837" t="str">
        <f>HYPERLINK("https://www.ncbi.nlm.nih.gov/nucleotide/XM_003194443.1?report=genbank&amp;log$=nucltop&amp;blast_rank=53&amp;RID=29W41E4T013","XM_003194443.1")</f>
        <v>XM_003194443.1</v>
      </c>
    </row>
    <row r="838" spans="1:7" x14ac:dyDescent="0.35">
      <c r="A838" t="s">
        <v>409</v>
      </c>
      <c r="B838">
        <v>168</v>
      </c>
      <c r="C838">
        <v>168</v>
      </c>
      <c r="D838" s="2">
        <v>0.49</v>
      </c>
      <c r="E838" s="3">
        <v>8.0000000000000006E-43</v>
      </c>
      <c r="F838">
        <v>41.28</v>
      </c>
      <c r="G838" t="str">
        <f>HYPERLINK("https://www.ncbi.nlm.nih.gov/nucleotide/XM_770139.1?report=genbank&amp;log$=nucltop&amp;blast_rank=54&amp;RID=29W41E4T013","XM_770139.1")</f>
        <v>XM_770139.1</v>
      </c>
    </row>
    <row r="839" spans="1:7" x14ac:dyDescent="0.35">
      <c r="A839" s="4" t="s">
        <v>410</v>
      </c>
      <c r="B839" s="4">
        <v>168</v>
      </c>
      <c r="C839" s="4">
        <v>168</v>
      </c>
      <c r="D839" s="5">
        <v>0.49</v>
      </c>
      <c r="E839" s="6">
        <v>9.0000000000000005E-43</v>
      </c>
      <c r="F839" s="4">
        <v>41.28</v>
      </c>
      <c r="G839" s="4" t="str">
        <f>HYPERLINK("https://www.ncbi.nlm.nih.gov/nucleotide/HQ399545.1?report=genbank&amp;log$=nucltop&amp;blast_rank=55&amp;RID=29W41E4T013","HQ399545.1")</f>
        <v>HQ399545.1</v>
      </c>
    </row>
    <row r="840" spans="1:7" x14ac:dyDescent="0.35">
      <c r="A840" t="s">
        <v>411</v>
      </c>
      <c r="B840">
        <v>168</v>
      </c>
      <c r="C840">
        <v>168</v>
      </c>
      <c r="D840" s="2">
        <v>0.49</v>
      </c>
      <c r="E840" s="3">
        <v>4E-41</v>
      </c>
      <c r="F840">
        <v>41.28</v>
      </c>
      <c r="G840" t="str">
        <f>HYPERLINK("https://www.ncbi.nlm.nih.gov/nucleotide/XM_571034.2?report=genbank&amp;log$=nucltop&amp;blast_rank=56&amp;RID=29W41E4T013","XM_571034.2")</f>
        <v>XM_571034.2</v>
      </c>
    </row>
    <row r="841" spans="1:7" x14ac:dyDescent="0.35">
      <c r="A841" s="4" t="s">
        <v>418</v>
      </c>
      <c r="B841" s="4">
        <v>167</v>
      </c>
      <c r="C841" s="4">
        <v>167</v>
      </c>
      <c r="D841" s="5">
        <v>0.49</v>
      </c>
      <c r="E841" s="6">
        <v>2.9999999999999999E-41</v>
      </c>
      <c r="F841" s="4">
        <v>41.2</v>
      </c>
      <c r="G841" s="4" t="str">
        <f>HYPERLINK("https://www.ncbi.nlm.nih.gov/nucleotide/XM_012194483.1?report=genbank&amp;log$=nucltop&amp;blast_rank=57&amp;RID=29W41E4T013","XM_012194483.1")</f>
        <v>XM_012194483.1</v>
      </c>
    </row>
    <row r="842" spans="1:7" x14ac:dyDescent="0.35">
      <c r="A842" t="s">
        <v>166</v>
      </c>
      <c r="B842">
        <v>162</v>
      </c>
      <c r="C842">
        <v>162</v>
      </c>
      <c r="D842" s="2">
        <v>0.45</v>
      </c>
      <c r="E842" s="3">
        <v>9.0000000000000002E-39</v>
      </c>
      <c r="F842">
        <v>41.12</v>
      </c>
      <c r="G842" t="str">
        <f>HYPERLINK("https://www.ncbi.nlm.nih.gov/nucleotide/CP060305.1?report=genbank&amp;log$=nucltop&amp;blast_rank=58&amp;RID=29W41E4T013","CP060305.1")</f>
        <v>CP060305.1</v>
      </c>
    </row>
    <row r="843" spans="1:7" x14ac:dyDescent="0.35">
      <c r="A843" s="4" t="s">
        <v>419</v>
      </c>
      <c r="B843" s="4">
        <v>170</v>
      </c>
      <c r="C843" s="4">
        <v>170</v>
      </c>
      <c r="D843" s="5">
        <v>0.5</v>
      </c>
      <c r="E843" s="6">
        <v>2.0000000000000002E-43</v>
      </c>
      <c r="F843" s="4">
        <v>41.1</v>
      </c>
      <c r="G843" s="4" t="str">
        <f>HYPERLINK("https://www.ncbi.nlm.nih.gov/nucleotide/XM_019179827.1?report=genbank&amp;log$=nucltop&amp;blast_rank=59&amp;RID=29W41E4T013","XM_019179827.1")</f>
        <v>XM_019179827.1</v>
      </c>
    </row>
    <row r="844" spans="1:7" x14ac:dyDescent="0.35">
      <c r="A844" t="s">
        <v>326</v>
      </c>
      <c r="B844">
        <v>166</v>
      </c>
      <c r="C844">
        <v>166</v>
      </c>
      <c r="D844" s="2">
        <v>0.48</v>
      </c>
      <c r="E844" s="3">
        <v>2E-41</v>
      </c>
      <c r="F844">
        <v>40.97</v>
      </c>
      <c r="G844" t="str">
        <f>HYPERLINK("https://www.ncbi.nlm.nih.gov/nucleotide/XM_014715922.1?report=genbank&amp;log$=nucltop&amp;blast_rank=60&amp;RID=29W41E4T013","XM_014715922.1")</f>
        <v>XM_014715922.1</v>
      </c>
    </row>
    <row r="845" spans="1:7" x14ac:dyDescent="0.35">
      <c r="A845" t="s">
        <v>426</v>
      </c>
      <c r="B845">
        <v>162</v>
      </c>
      <c r="C845">
        <v>162</v>
      </c>
      <c r="D845" s="2">
        <v>0.49</v>
      </c>
      <c r="E845" s="3">
        <v>5.9999999999999998E-41</v>
      </c>
      <c r="F845">
        <v>40.770000000000003</v>
      </c>
      <c r="G845" t="str">
        <f>HYPERLINK("https://www.ncbi.nlm.nih.gov/nucleotide/XM_032005597.1?report=genbank&amp;log$=nucltop&amp;blast_rank=61&amp;RID=29W41E4T013","XM_032005597.1")</f>
        <v>XM_032005597.1</v>
      </c>
    </row>
    <row r="846" spans="1:7" x14ac:dyDescent="0.35">
      <c r="A846" t="s">
        <v>417</v>
      </c>
      <c r="B846">
        <v>165</v>
      </c>
      <c r="C846">
        <v>165</v>
      </c>
      <c r="D846" s="2">
        <v>0.5</v>
      </c>
      <c r="E846" s="3">
        <v>1E-41</v>
      </c>
      <c r="F846">
        <v>40.51</v>
      </c>
      <c r="G846" t="str">
        <f>HYPERLINK("https://www.ncbi.nlm.nih.gov/nucleotide/XM_007006886.1?report=genbank&amp;log$=nucltop&amp;blast_rank=62&amp;RID=29W41E4T013","XM_007006886.1")</f>
        <v>XM_007006886.1</v>
      </c>
    </row>
    <row r="847" spans="1:7" x14ac:dyDescent="0.35">
      <c r="A847" t="s">
        <v>382</v>
      </c>
      <c r="B847">
        <v>197</v>
      </c>
      <c r="C847">
        <v>197</v>
      </c>
      <c r="D847" s="2">
        <v>0.49</v>
      </c>
      <c r="E847" s="3">
        <v>1E-50</v>
      </c>
      <c r="F847">
        <v>40.299999999999997</v>
      </c>
      <c r="G847" t="str">
        <f>HYPERLINK("https://www.ncbi.nlm.nih.gov/nucleotide/CP039884.1?report=genbank&amp;log$=nucltop&amp;blast_rank=63&amp;RID=29W41E4T013","CP039884.1")</f>
        <v>CP039884.1</v>
      </c>
    </row>
    <row r="848" spans="1:7" x14ac:dyDescent="0.35">
      <c r="A848" s="4" t="s">
        <v>433</v>
      </c>
      <c r="B848" s="4">
        <v>148</v>
      </c>
      <c r="C848" s="4">
        <v>148</v>
      </c>
      <c r="D848" s="5">
        <v>0.49</v>
      </c>
      <c r="E848" s="6">
        <v>2.0000000000000001E-37</v>
      </c>
      <c r="F848" s="4">
        <v>40.090000000000003</v>
      </c>
      <c r="G848" s="4" t="str">
        <f>HYPERLINK("https://www.ncbi.nlm.nih.gov/nucleotide/XM_025496346.1?report=genbank&amp;log$=nucltop&amp;blast_rank=64&amp;RID=29W41E4T013","XM_025496346.1")</f>
        <v>XM_025496346.1</v>
      </c>
    </row>
    <row r="849" spans="1:7" x14ac:dyDescent="0.35">
      <c r="A849" t="s">
        <v>441</v>
      </c>
      <c r="B849">
        <v>154</v>
      </c>
      <c r="C849">
        <v>154</v>
      </c>
      <c r="D849" s="2">
        <v>0.48</v>
      </c>
      <c r="E849" s="3">
        <v>2.0000000000000001E-37</v>
      </c>
      <c r="F849">
        <v>40</v>
      </c>
      <c r="G849" t="str">
        <f>HYPERLINK("https://www.ncbi.nlm.nih.gov/nucleotide/XM_025745181.1?report=genbank&amp;log$=nucltop&amp;blast_rank=65&amp;RID=29W41E4T013","XM_025745181.1")</f>
        <v>XM_025745181.1</v>
      </c>
    </row>
    <row r="850" spans="1:7" x14ac:dyDescent="0.35">
      <c r="A850" t="s">
        <v>425</v>
      </c>
      <c r="B850">
        <v>160</v>
      </c>
      <c r="C850">
        <v>160</v>
      </c>
      <c r="D850" s="2">
        <v>0.49</v>
      </c>
      <c r="E850" s="3">
        <v>3.9999999999999997E-39</v>
      </c>
      <c r="F850">
        <v>39.83</v>
      </c>
      <c r="G850" t="str">
        <f>HYPERLINK("https://www.ncbi.nlm.nih.gov/nucleotide/XM_025521609.1?report=genbank&amp;log$=nucltop&amp;blast_rank=66&amp;RID=29W41E4T013","XM_025521609.1")</f>
        <v>XM_025521609.1</v>
      </c>
    </row>
    <row r="851" spans="1:7" x14ac:dyDescent="0.35">
      <c r="A851" t="s">
        <v>440</v>
      </c>
      <c r="B851">
        <v>159</v>
      </c>
      <c r="C851">
        <v>159</v>
      </c>
      <c r="D851" s="2">
        <v>0.5</v>
      </c>
      <c r="E851" s="3">
        <v>3.0000000000000003E-39</v>
      </c>
      <c r="F851">
        <v>39.590000000000003</v>
      </c>
      <c r="G851" t="str">
        <f>HYPERLINK("https://www.ncbi.nlm.nih.gov/nucleotide/XM_007411685.1?report=genbank&amp;log$=nucltop&amp;blast_rank=67&amp;RID=29W41E4T013","XM_007411685.1")</f>
        <v>XM_007411685.1</v>
      </c>
    </row>
    <row r="852" spans="1:7" x14ac:dyDescent="0.35">
      <c r="A852" t="s">
        <v>437</v>
      </c>
      <c r="B852">
        <v>158</v>
      </c>
      <c r="C852">
        <v>158</v>
      </c>
      <c r="D852" s="2">
        <v>0.5</v>
      </c>
      <c r="E852" s="3">
        <v>2.9999999999999999E-41</v>
      </c>
      <c r="F852">
        <v>39.409999999999997</v>
      </c>
      <c r="G852" t="str">
        <f>HYPERLINK("https://www.ncbi.nlm.nih.gov/nucleotide/XM_028624687.1?report=genbank&amp;log$=nucltop&amp;blast_rank=68&amp;RID=29W41E4T013","XM_028624687.1")</f>
        <v>XM_028624687.1</v>
      </c>
    </row>
    <row r="853" spans="1:7" x14ac:dyDescent="0.35">
      <c r="A853" s="4" t="s">
        <v>439</v>
      </c>
      <c r="B853" s="4">
        <v>164</v>
      </c>
      <c r="C853" s="4">
        <v>164</v>
      </c>
      <c r="D853" s="5">
        <v>0.49</v>
      </c>
      <c r="E853" s="6">
        <v>2E-41</v>
      </c>
      <c r="F853" s="4">
        <v>39.22</v>
      </c>
      <c r="G853" s="4" t="str">
        <f>HYPERLINK("https://www.ncbi.nlm.nih.gov/nucleotide/XM_016417699.1?report=genbank&amp;log$=nucltop&amp;blast_rank=69&amp;RID=29W41E4T013","XM_016417699.1")</f>
        <v>XM_016417699.1</v>
      </c>
    </row>
    <row r="854" spans="1:7" x14ac:dyDescent="0.35">
      <c r="A854" t="s">
        <v>431</v>
      </c>
      <c r="B854">
        <v>164</v>
      </c>
      <c r="C854">
        <v>164</v>
      </c>
      <c r="D854" s="2">
        <v>0.5</v>
      </c>
      <c r="E854" s="3">
        <v>8E-41</v>
      </c>
      <c r="F854">
        <v>38.979999999999997</v>
      </c>
      <c r="G854" t="str">
        <f>HYPERLINK("https://www.ncbi.nlm.nih.gov/nucleotide/XM_022012622.1?report=genbank&amp;log$=nucltop&amp;blast_rank=70&amp;RID=29W41E4T013","XM_022012622.1")</f>
        <v>XM_022012622.1</v>
      </c>
    </row>
    <row r="855" spans="1:7" x14ac:dyDescent="0.35">
      <c r="A855" t="s">
        <v>1230</v>
      </c>
      <c r="B855">
        <v>145</v>
      </c>
      <c r="C855">
        <v>145</v>
      </c>
      <c r="D855" s="2">
        <v>0.49</v>
      </c>
      <c r="E855" s="3">
        <v>1.9999999999999999E-34</v>
      </c>
      <c r="F855">
        <v>37.869999999999997</v>
      </c>
      <c r="G855" t="str">
        <f>HYPERLINK("https://www.ncbi.nlm.nih.gov/nucleotide/XM_018418427.1?report=genbank&amp;log$=nucltop&amp;blast_rank=71&amp;RID=29W41E4T013","XM_018418427.1")</f>
        <v>XM_018418427.1</v>
      </c>
    </row>
    <row r="856" spans="1:7" x14ac:dyDescent="0.35">
      <c r="A856" t="s">
        <v>444</v>
      </c>
      <c r="B856">
        <v>147</v>
      </c>
      <c r="C856">
        <v>147</v>
      </c>
      <c r="D856" s="2">
        <v>0.49</v>
      </c>
      <c r="E856" s="3">
        <v>1.9999999999999999E-34</v>
      </c>
      <c r="F856">
        <v>34.909999999999997</v>
      </c>
      <c r="G856" t="str">
        <f>HYPERLINK("https://www.ncbi.nlm.nih.gov/nucleotide/XM_018369006.1?report=genbank&amp;log$=nucltop&amp;blast_rank=72&amp;RID=29W41E4T013","XM_018369006.1")</f>
        <v>XM_018369006.1</v>
      </c>
    </row>
    <row r="857" spans="1:7" x14ac:dyDescent="0.35">
      <c r="A857" t="s">
        <v>443</v>
      </c>
      <c r="B857">
        <v>150</v>
      </c>
      <c r="C857">
        <v>150</v>
      </c>
      <c r="D857" s="2">
        <v>0.49</v>
      </c>
      <c r="E857" s="3">
        <v>2.9999999999999999E-35</v>
      </c>
      <c r="F857">
        <v>34.479999999999997</v>
      </c>
      <c r="G857" t="str">
        <f>HYPERLINK("https://www.ncbi.nlm.nih.gov/nucleotide/XM_007874156.1?report=genbank&amp;log$=nucltop&amp;blast_rank=73&amp;RID=29W41E4T013","XM_007874156.1")</f>
        <v>XM_007874156.1</v>
      </c>
    </row>
    <row r="858" spans="1:7" x14ac:dyDescent="0.35">
      <c r="A858" t="s">
        <v>446</v>
      </c>
      <c r="B858">
        <v>130</v>
      </c>
      <c r="C858">
        <v>130</v>
      </c>
      <c r="D858" s="2">
        <v>0.48</v>
      </c>
      <c r="E858" s="3">
        <v>1.9999999999999999E-28</v>
      </c>
      <c r="F858">
        <v>33.909999999999997</v>
      </c>
      <c r="G858" t="str">
        <f>HYPERLINK("https://www.ncbi.nlm.nih.gov/nucleotide/XM_031999984.1?report=genbank&amp;log$=nucltop&amp;blast_rank=74&amp;RID=29W41E4T013","XM_031999984.1")</f>
        <v>XM_031999984.1</v>
      </c>
    </row>
    <row r="859" spans="1:7" x14ac:dyDescent="0.35">
      <c r="A859" t="s">
        <v>980</v>
      </c>
      <c r="B859">
        <v>140</v>
      </c>
      <c r="C859">
        <v>140</v>
      </c>
      <c r="D859" s="2">
        <v>0.5</v>
      </c>
      <c r="E859" s="3">
        <v>1.0000000000000001E-31</v>
      </c>
      <c r="F859">
        <v>33.76</v>
      </c>
      <c r="G859" t="str">
        <f>HYPERLINK("https://www.ncbi.nlm.nih.gov/nucleotide/XM_022030713.1?report=genbank&amp;log$=nucltop&amp;blast_rank=75&amp;RID=29W41E4T013","XM_022030713.1")</f>
        <v>XM_022030713.1</v>
      </c>
    </row>
    <row r="860" spans="1:7" x14ac:dyDescent="0.35">
      <c r="A860" t="s">
        <v>457</v>
      </c>
      <c r="B860">
        <v>128</v>
      </c>
      <c r="C860">
        <v>128</v>
      </c>
      <c r="D860" s="2">
        <v>0.48</v>
      </c>
      <c r="E860" s="3">
        <v>6.9999999999999999E-28</v>
      </c>
      <c r="F860">
        <v>33.619999999999997</v>
      </c>
      <c r="G860" t="str">
        <f>HYPERLINK("https://www.ncbi.nlm.nih.gov/nucleotide/XM_025480965.1?report=genbank&amp;log$=nucltop&amp;blast_rank=76&amp;RID=29W41E4T013","XM_025480965.1")</f>
        <v>XM_025480965.1</v>
      </c>
    </row>
    <row r="861" spans="1:7" x14ac:dyDescent="0.35">
      <c r="A861" t="s">
        <v>456</v>
      </c>
      <c r="B861">
        <v>127</v>
      </c>
      <c r="C861">
        <v>127</v>
      </c>
      <c r="D861" s="2">
        <v>0.48</v>
      </c>
      <c r="E861" s="3">
        <v>3.0000000000000001E-27</v>
      </c>
      <c r="F861">
        <v>33.33</v>
      </c>
      <c r="G861" t="str">
        <f>HYPERLINK("https://www.ncbi.nlm.nih.gov/nucleotide/XM_024858447.1?report=genbank&amp;log$=nucltop&amp;blast_rank=77&amp;RID=29W41E4T013","XM_024858447.1")</f>
        <v>XM_024858447.1</v>
      </c>
    </row>
    <row r="862" spans="1:7" x14ac:dyDescent="0.35">
      <c r="A862" t="s">
        <v>754</v>
      </c>
      <c r="B862">
        <v>129</v>
      </c>
      <c r="C862">
        <v>129</v>
      </c>
      <c r="D862" s="2">
        <v>0.48</v>
      </c>
      <c r="E862" s="3">
        <v>6.9999999999999999E-28</v>
      </c>
      <c r="F862">
        <v>33.19</v>
      </c>
      <c r="G862" t="str">
        <f>HYPERLINK("https://www.ncbi.nlm.nih.gov/nucleotide/XM_029032634.1?report=genbank&amp;log$=nucltop&amp;blast_rank=78&amp;RID=29W41E4T013","XM_029032634.1")</f>
        <v>XM_029032634.1</v>
      </c>
    </row>
    <row r="863" spans="1:7" x14ac:dyDescent="0.35">
      <c r="A863" t="s">
        <v>746</v>
      </c>
      <c r="B863">
        <v>126</v>
      </c>
      <c r="C863">
        <v>126</v>
      </c>
      <c r="D863" s="2">
        <v>0.48</v>
      </c>
      <c r="E863" s="3">
        <v>5.0000000000000002E-27</v>
      </c>
      <c r="F863">
        <v>33.19</v>
      </c>
      <c r="G863" t="str">
        <f>HYPERLINK("https://www.ncbi.nlm.nih.gov/nucleotide/XM_501207.2?report=genbank&amp;log$=nucltop&amp;blast_rank=79&amp;RID=29W41E4T013","XM_501207.2")</f>
        <v>XM_501207.2</v>
      </c>
    </row>
    <row r="864" spans="1:7" x14ac:dyDescent="0.35">
      <c r="A864" t="s">
        <v>747</v>
      </c>
      <c r="B864">
        <v>127</v>
      </c>
      <c r="C864">
        <v>127</v>
      </c>
      <c r="D864" s="2">
        <v>0.48</v>
      </c>
      <c r="E864" s="3">
        <v>8.0000000000000003E-27</v>
      </c>
      <c r="F864">
        <v>33.19</v>
      </c>
      <c r="G864" t="str">
        <f>HYPERLINK("https://www.ncbi.nlm.nih.gov/nucleotide/CP028443.1?report=genbank&amp;log$=nucltop&amp;blast_rank=80&amp;RID=29W41E4T013","CP028443.1")</f>
        <v>CP028443.1</v>
      </c>
    </row>
    <row r="865" spans="1:7" x14ac:dyDescent="0.35">
      <c r="A865" t="s">
        <v>748</v>
      </c>
      <c r="B865">
        <v>127</v>
      </c>
      <c r="C865">
        <v>127</v>
      </c>
      <c r="D865" s="2">
        <v>0.48</v>
      </c>
      <c r="E865" s="3">
        <v>8.0000000000000003E-27</v>
      </c>
      <c r="F865">
        <v>33.19</v>
      </c>
      <c r="G865" t="str">
        <f>HYPERLINK("https://www.ncbi.nlm.nih.gov/nucleotide/CP028455.1?report=genbank&amp;log$=nucltop&amp;blast_rank=81&amp;RID=29W41E4T013","CP028455.1")</f>
        <v>CP028455.1</v>
      </c>
    </row>
    <row r="866" spans="1:7" x14ac:dyDescent="0.35">
      <c r="A866" t="s">
        <v>749</v>
      </c>
      <c r="B866">
        <v>127</v>
      </c>
      <c r="C866">
        <v>127</v>
      </c>
      <c r="D866" s="2">
        <v>0.48</v>
      </c>
      <c r="E866" s="3">
        <v>8.0000000000000003E-27</v>
      </c>
      <c r="F866">
        <v>33.19</v>
      </c>
      <c r="G866" t="str">
        <f>HYPERLINK("https://www.ncbi.nlm.nih.gov/nucleotide/HG934060.1?report=genbank&amp;log$=nucltop&amp;blast_rank=82&amp;RID=29W41E4T013","HG934060.1")</f>
        <v>HG934060.1</v>
      </c>
    </row>
    <row r="867" spans="1:7" x14ac:dyDescent="0.35">
      <c r="A867" t="s">
        <v>445</v>
      </c>
      <c r="B867">
        <v>139</v>
      </c>
      <c r="C867">
        <v>139</v>
      </c>
      <c r="D867" s="2">
        <v>0.49</v>
      </c>
      <c r="E867" s="3">
        <v>6.0000000000000001E-32</v>
      </c>
      <c r="F867">
        <v>32.909999999999997</v>
      </c>
      <c r="G867" t="str">
        <f>HYPERLINK("https://www.ncbi.nlm.nih.gov/nucleotide/XM_022027061.1?report=genbank&amp;log$=nucltop&amp;blast_rank=83&amp;RID=29W41E4T013","XM_022027061.1")</f>
        <v>XM_022027061.1</v>
      </c>
    </row>
    <row r="868" spans="1:7" x14ac:dyDescent="0.35">
      <c r="A868" t="s">
        <v>466</v>
      </c>
      <c r="B868">
        <v>132</v>
      </c>
      <c r="C868">
        <v>132</v>
      </c>
      <c r="D868" s="2">
        <v>0.49</v>
      </c>
      <c r="E868" s="3">
        <v>1.9999999999999999E-28</v>
      </c>
      <c r="F868">
        <v>32.909999999999997</v>
      </c>
      <c r="G868" t="str">
        <f>HYPERLINK("https://www.ncbi.nlm.nih.gov/nucleotide/CP061160.1?report=genbank&amp;log$=nucltop&amp;blast_rank=84&amp;RID=29W41E4T013","CP061160.1")</f>
        <v>CP061160.1</v>
      </c>
    </row>
    <row r="869" spans="1:7" x14ac:dyDescent="0.35">
      <c r="A869" t="s">
        <v>906</v>
      </c>
      <c r="B869">
        <v>132</v>
      </c>
      <c r="C869">
        <v>132</v>
      </c>
      <c r="D869" s="2">
        <v>0.49</v>
      </c>
      <c r="E869" s="3">
        <v>1.9999999999999999E-28</v>
      </c>
      <c r="F869">
        <v>32.909999999999997</v>
      </c>
      <c r="G869" t="str">
        <f>HYPERLINK("https://www.ncbi.nlm.nih.gov/nucleotide/CP060340.1?report=genbank&amp;log$=nucltop&amp;blast_rank=85&amp;RID=29W41E4T013","CP060340.1")</f>
        <v>CP060340.1</v>
      </c>
    </row>
    <row r="870" spans="1:7" x14ac:dyDescent="0.35">
      <c r="A870" t="s">
        <v>907</v>
      </c>
      <c r="B870">
        <v>132</v>
      </c>
      <c r="C870">
        <v>132</v>
      </c>
      <c r="D870" s="2">
        <v>0.49</v>
      </c>
      <c r="E870" s="3">
        <v>1.9999999999999999E-28</v>
      </c>
      <c r="F870">
        <v>32.909999999999997</v>
      </c>
      <c r="G870" t="str">
        <f>HYPERLINK("https://www.ncbi.nlm.nih.gov/nucleotide/CP060375.1?report=genbank&amp;log$=nucltop&amp;blast_rank=86&amp;RID=29W41E4T013","CP060375.1")</f>
        <v>CP060375.1</v>
      </c>
    </row>
    <row r="871" spans="1:7" x14ac:dyDescent="0.35">
      <c r="A871" t="s">
        <v>462</v>
      </c>
      <c r="B871">
        <v>132</v>
      </c>
      <c r="C871">
        <v>132</v>
      </c>
      <c r="D871" s="2">
        <v>0.49</v>
      </c>
      <c r="E871" s="3">
        <v>1.9999999999999999E-28</v>
      </c>
      <c r="F871">
        <v>32.909999999999997</v>
      </c>
      <c r="G871" t="str">
        <f>HYPERLINK("https://www.ncbi.nlm.nih.gov/nucleotide/CP050654.1?report=genbank&amp;log$=nucltop&amp;blast_rank=87&amp;RID=29W41E4T013","CP050654.1")</f>
        <v>CP050654.1</v>
      </c>
    </row>
    <row r="872" spans="1:7" x14ac:dyDescent="0.35">
      <c r="A872" t="s">
        <v>463</v>
      </c>
      <c r="B872">
        <v>132</v>
      </c>
      <c r="C872">
        <v>132</v>
      </c>
      <c r="D872" s="2">
        <v>0.49</v>
      </c>
      <c r="E872" s="3">
        <v>1.9999999999999999E-28</v>
      </c>
      <c r="F872">
        <v>32.909999999999997</v>
      </c>
      <c r="G872" t="str">
        <f>HYPERLINK("https://www.ncbi.nlm.nih.gov/nucleotide/CP050668.1?report=genbank&amp;log$=nucltop&amp;blast_rank=88&amp;RID=29W41E4T013","CP050668.1")</f>
        <v>CP050668.1</v>
      </c>
    </row>
    <row r="873" spans="1:7" x14ac:dyDescent="0.35">
      <c r="A873" t="s">
        <v>1232</v>
      </c>
      <c r="B873">
        <v>132</v>
      </c>
      <c r="C873">
        <v>132</v>
      </c>
      <c r="D873" s="2">
        <v>0.49</v>
      </c>
      <c r="E873" s="3">
        <v>1.9999999999999999E-28</v>
      </c>
      <c r="F873">
        <v>32.909999999999997</v>
      </c>
      <c r="G873" t="str">
        <f>HYPERLINK("https://www.ncbi.nlm.nih.gov/nucleotide/CP060368.1?report=genbank&amp;log$=nucltop&amp;blast_rank=89&amp;RID=29W41E4T013","CP060368.1")</f>
        <v>CP060368.1</v>
      </c>
    </row>
    <row r="874" spans="1:7" x14ac:dyDescent="0.35">
      <c r="A874" t="s">
        <v>1233</v>
      </c>
      <c r="B874">
        <v>132</v>
      </c>
      <c r="C874">
        <v>132</v>
      </c>
      <c r="D874" s="2">
        <v>0.49</v>
      </c>
      <c r="E874" s="3">
        <v>1.9999999999999999E-28</v>
      </c>
      <c r="F874">
        <v>32.909999999999997</v>
      </c>
      <c r="G874" t="str">
        <f>HYPERLINK("https://www.ncbi.nlm.nih.gov/nucleotide/CP060347.1?report=genbank&amp;log$=nucltop&amp;blast_rank=90&amp;RID=29W41E4T013","CP060347.1")</f>
        <v>CP060347.1</v>
      </c>
    </row>
    <row r="875" spans="1:7" x14ac:dyDescent="0.35">
      <c r="A875" t="s">
        <v>464</v>
      </c>
      <c r="B875">
        <v>132</v>
      </c>
      <c r="C875">
        <v>132</v>
      </c>
      <c r="D875" s="2">
        <v>0.49</v>
      </c>
      <c r="E875" s="3">
        <v>1.9999999999999999E-28</v>
      </c>
      <c r="F875">
        <v>32.909999999999997</v>
      </c>
      <c r="G875" t="str">
        <f>HYPERLINK("https://www.ncbi.nlm.nih.gov/nucleotide/CP043443.1?report=genbank&amp;log$=nucltop&amp;blast_rank=91&amp;RID=29W41E4T013","CP043443.1")</f>
        <v>CP043443.1</v>
      </c>
    </row>
    <row r="876" spans="1:7" x14ac:dyDescent="0.35">
      <c r="A876" t="s">
        <v>465</v>
      </c>
      <c r="B876">
        <v>132</v>
      </c>
      <c r="C876">
        <v>132</v>
      </c>
      <c r="D876" s="2">
        <v>0.49</v>
      </c>
      <c r="E876" s="3">
        <v>1.9999999999999999E-28</v>
      </c>
      <c r="F876">
        <v>32.909999999999997</v>
      </c>
      <c r="G876" t="str">
        <f>HYPERLINK("https://www.ncbi.nlm.nih.gov/nucleotide/CP041136.1?report=genbank&amp;log$=nucltop&amp;blast_rank=92&amp;RID=29W41E4T013","CP041136.1")</f>
        <v>CP041136.1</v>
      </c>
    </row>
    <row r="877" spans="1:7" x14ac:dyDescent="0.35">
      <c r="A877" t="s">
        <v>1234</v>
      </c>
      <c r="B877">
        <v>132</v>
      </c>
      <c r="C877">
        <v>132</v>
      </c>
      <c r="D877" s="2">
        <v>0.49</v>
      </c>
      <c r="E877" s="3">
        <v>1.9999999999999999E-28</v>
      </c>
      <c r="F877">
        <v>32.909999999999997</v>
      </c>
      <c r="G877" t="str">
        <f>HYPERLINK("https://www.ncbi.nlm.nih.gov/nucleotide/CP060354.1?report=genbank&amp;log$=nucltop&amp;blast_rank=93&amp;RID=29W41E4T013","CP060354.1")</f>
        <v>CP060354.1</v>
      </c>
    </row>
    <row r="878" spans="1:7" x14ac:dyDescent="0.35">
      <c r="A878" t="s">
        <v>1235</v>
      </c>
      <c r="B878">
        <v>132</v>
      </c>
      <c r="C878">
        <v>132</v>
      </c>
      <c r="D878" s="2">
        <v>0.49</v>
      </c>
      <c r="E878" s="3">
        <v>1.9999999999999999E-28</v>
      </c>
      <c r="F878">
        <v>32.909999999999997</v>
      </c>
      <c r="G878" t="str">
        <f>HYPERLINK("https://www.ncbi.nlm.nih.gov/nucleotide/CP060361.1?report=genbank&amp;log$=nucltop&amp;blast_rank=94&amp;RID=29W41E4T013","CP060361.1")</f>
        <v>CP060361.1</v>
      </c>
    </row>
    <row r="879" spans="1:7" x14ac:dyDescent="0.35">
      <c r="A879" s="4" t="s">
        <v>919</v>
      </c>
      <c r="B879" s="4">
        <v>144</v>
      </c>
      <c r="C879" s="4">
        <v>144</v>
      </c>
      <c r="D879" s="5">
        <v>0.49</v>
      </c>
      <c r="E879" s="6">
        <v>1.0000000000000001E-33</v>
      </c>
      <c r="F879" s="4">
        <v>32.76</v>
      </c>
      <c r="G879" s="4" t="str">
        <f>HYPERLINK("https://www.ncbi.nlm.nih.gov/nucleotide/XM_019168748.1?report=genbank&amp;log$=nucltop&amp;blast_rank=95&amp;RID=29W41E4T013","XM_019168748.1")</f>
        <v>XM_019168748.1</v>
      </c>
    </row>
    <row r="880" spans="1:7" x14ac:dyDescent="0.35">
      <c r="A880" t="s">
        <v>981</v>
      </c>
      <c r="B880">
        <v>129</v>
      </c>
      <c r="C880">
        <v>129</v>
      </c>
      <c r="D880" s="2">
        <v>0.49</v>
      </c>
      <c r="E880" s="3">
        <v>2.0000000000000001E-27</v>
      </c>
      <c r="F880">
        <v>32.49</v>
      </c>
      <c r="G880" t="str">
        <f>HYPERLINK("https://www.ncbi.nlm.nih.gov/nucleotide/CP050661.1?report=genbank&amp;log$=nucltop&amp;blast_rank=96&amp;RID=29W41E4T013","CP050661.1")</f>
        <v>CP050661.1</v>
      </c>
    </row>
    <row r="881" spans="1:7" x14ac:dyDescent="0.35">
      <c r="A881" t="s">
        <v>982</v>
      </c>
      <c r="B881">
        <v>129</v>
      </c>
      <c r="C881">
        <v>129</v>
      </c>
      <c r="D881" s="2">
        <v>0.49</v>
      </c>
      <c r="E881" s="3">
        <v>2.0000000000000001E-27</v>
      </c>
      <c r="F881">
        <v>32.49</v>
      </c>
      <c r="G881" t="str">
        <f>HYPERLINK("https://www.ncbi.nlm.nih.gov/nucleotide/CP043533.1?report=genbank&amp;log$=nucltop&amp;blast_rank=97&amp;RID=29W41E4T013","CP043533.1")</f>
        <v>CP043533.1</v>
      </c>
    </row>
    <row r="882" spans="1:7" x14ac:dyDescent="0.35">
      <c r="A882" t="s">
        <v>1370</v>
      </c>
      <c r="B882">
        <v>125</v>
      </c>
      <c r="C882">
        <v>125</v>
      </c>
      <c r="D882" s="2">
        <v>0.48</v>
      </c>
      <c r="E882" s="3">
        <v>6.0000000000000002E-27</v>
      </c>
      <c r="F882">
        <v>32.31</v>
      </c>
      <c r="G882" t="str">
        <f>HYPERLINK("https://www.ncbi.nlm.nih.gov/nucleotide/XM_038923990.1?report=genbank&amp;log$=nucltop&amp;blast_rank=98&amp;RID=29W41E4T013","XM_038923990.1")</f>
        <v>XM_038923990.1</v>
      </c>
    </row>
    <row r="883" spans="1:7" x14ac:dyDescent="0.35">
      <c r="A883" t="s">
        <v>454</v>
      </c>
      <c r="B883">
        <v>137</v>
      </c>
      <c r="C883">
        <v>137</v>
      </c>
      <c r="D883" s="2">
        <v>0.5</v>
      </c>
      <c r="E883" s="3">
        <v>9.0000000000000008E-31</v>
      </c>
      <c r="F883">
        <v>32.08</v>
      </c>
      <c r="G883" t="str">
        <f>HYPERLINK("https://www.ncbi.nlm.nih.gov/nucleotide/XM_025319938.1?report=genbank&amp;log$=nucltop&amp;blast_rank=99&amp;RID=29W41E4T013","XM_025319938.1")</f>
        <v>XM_025319938.1</v>
      </c>
    </row>
    <row r="884" spans="1:7" x14ac:dyDescent="0.35">
      <c r="A884" t="s">
        <v>458</v>
      </c>
      <c r="B884">
        <v>127</v>
      </c>
      <c r="C884">
        <v>127</v>
      </c>
      <c r="D884" s="2">
        <v>0.48</v>
      </c>
      <c r="E884" s="3">
        <v>4.0000000000000002E-27</v>
      </c>
      <c r="F884">
        <v>32.049999999999997</v>
      </c>
      <c r="G884" t="str">
        <f>HYPERLINK("https://www.ncbi.nlm.nih.gov/nucleotide/XM_007373298.1?report=genbank&amp;log$=nucltop&amp;blast_rank=100&amp;RID=29W41E4T013","XM_007373298.1")</f>
        <v>XM_007373298.1</v>
      </c>
    </row>
    <row r="885" spans="1:7" x14ac:dyDescent="0.35">
      <c r="A885" s="1" t="s">
        <v>1396</v>
      </c>
    </row>
    <row r="886" spans="1:7" x14ac:dyDescent="0.35">
      <c r="A886" s="1" t="s">
        <v>2</v>
      </c>
      <c r="B886" s="1" t="s">
        <v>3</v>
      </c>
      <c r="C886" s="1" t="s">
        <v>4</v>
      </c>
      <c r="D886" s="1" t="s">
        <v>5</v>
      </c>
      <c r="E886" s="1" t="s">
        <v>6</v>
      </c>
      <c r="F886" s="1" t="s">
        <v>7</v>
      </c>
      <c r="G886" s="1" t="s">
        <v>8</v>
      </c>
    </row>
    <row r="887" spans="1:7" x14ac:dyDescent="0.35">
      <c r="A887" t="s">
        <v>37</v>
      </c>
      <c r="B887">
        <v>399</v>
      </c>
      <c r="C887">
        <v>597</v>
      </c>
      <c r="D887" s="2">
        <v>0.95</v>
      </c>
      <c r="E887" s="3">
        <v>9.0000000000000007E-121</v>
      </c>
      <c r="F887">
        <v>58.75</v>
      </c>
      <c r="G887" t="str">
        <f>HYPERLINK("https://www.ncbi.nlm.nih.gov/nucleotide/LR732085.1?report=genbank&amp;log$=nucltop&amp;blast_rank=1&amp;RID=29W62RY8013","LR732085.1")</f>
        <v>LR732085.1</v>
      </c>
    </row>
    <row r="888" spans="1:7" x14ac:dyDescent="0.35">
      <c r="A888" s="4" t="s">
        <v>986</v>
      </c>
      <c r="B888" s="4">
        <v>359</v>
      </c>
      <c r="C888" s="4">
        <v>359</v>
      </c>
      <c r="D888" s="5">
        <v>0.9</v>
      </c>
      <c r="E888" s="6">
        <v>5.0000000000000003E-115</v>
      </c>
      <c r="F888" s="4">
        <v>46.55</v>
      </c>
      <c r="G888" s="4" t="str">
        <f>HYPERLINK("https://www.ncbi.nlm.nih.gov/nucleotide/XM_007870421.1?report=genbank&amp;log$=nucltop&amp;blast_rank=2&amp;RID=29W62RY8013","XM_007870421.1")</f>
        <v>XM_007870421.1</v>
      </c>
    </row>
    <row r="889" spans="1:7" x14ac:dyDescent="0.35">
      <c r="A889" s="4" t="s">
        <v>995</v>
      </c>
      <c r="B889" s="4">
        <v>362</v>
      </c>
      <c r="C889" s="4">
        <v>362</v>
      </c>
      <c r="D889" s="5">
        <v>0.86</v>
      </c>
      <c r="E889" s="6">
        <v>2E-116</v>
      </c>
      <c r="F889" s="4">
        <v>44.99</v>
      </c>
      <c r="G889" s="4" t="str">
        <f>HYPERLINK("https://www.ncbi.nlm.nih.gov/nucleotide/XM_007370831.1?report=genbank&amp;log$=nucltop&amp;blast_rank=3&amp;RID=29W62RY8013","XM_007370831.1")</f>
        <v>XM_007370831.1</v>
      </c>
    </row>
    <row r="890" spans="1:7" x14ac:dyDescent="0.35">
      <c r="A890" t="s">
        <v>992</v>
      </c>
      <c r="B890">
        <v>380</v>
      </c>
      <c r="C890">
        <v>380</v>
      </c>
      <c r="D890" s="2">
        <v>0.93</v>
      </c>
      <c r="E890" s="3">
        <v>2.9999999999999999E-125</v>
      </c>
      <c r="F890">
        <v>44.26</v>
      </c>
      <c r="G890" t="str">
        <f>HYPERLINK("https://www.ncbi.nlm.nih.gov/nucleotide/XM_024485275.1?report=genbank&amp;log$=nucltop&amp;blast_rank=4&amp;RID=29W62RY8013","XM_024485275.1")</f>
        <v>XM_024485275.1</v>
      </c>
    </row>
    <row r="891" spans="1:7" x14ac:dyDescent="0.35">
      <c r="A891" t="s">
        <v>120</v>
      </c>
      <c r="B891">
        <v>378</v>
      </c>
      <c r="C891">
        <v>378</v>
      </c>
      <c r="D891" s="2">
        <v>0.92</v>
      </c>
      <c r="E891" s="3">
        <v>3.0000000000000003E-116</v>
      </c>
      <c r="F891">
        <v>44.24</v>
      </c>
      <c r="G891" t="str">
        <f>HYPERLINK("https://www.ncbi.nlm.nih.gov/nucleotide/XM_012324203.1?report=genbank&amp;log$=nucltop&amp;blast_rank=5&amp;RID=29W62RY8013","XM_012324203.1")</f>
        <v>XM_012324203.1</v>
      </c>
    </row>
    <row r="892" spans="1:7" x14ac:dyDescent="0.35">
      <c r="A892" t="s">
        <v>21</v>
      </c>
      <c r="B892">
        <v>380</v>
      </c>
      <c r="C892">
        <v>380</v>
      </c>
      <c r="D892" s="2">
        <v>0.93</v>
      </c>
      <c r="E892" s="3">
        <v>2.0000000000000001E-122</v>
      </c>
      <c r="F892">
        <v>44.19</v>
      </c>
      <c r="G892" t="str">
        <f>HYPERLINK("https://www.ncbi.nlm.nih.gov/nucleotide/XM_009549080.1?report=genbank&amp;log$=nucltop&amp;blast_rank=6&amp;RID=29W62RY8013","XM_009549080.1")</f>
        <v>XM_009549080.1</v>
      </c>
    </row>
    <row r="893" spans="1:7" x14ac:dyDescent="0.35">
      <c r="A893" s="4" t="s">
        <v>989</v>
      </c>
      <c r="B893" s="4">
        <v>386</v>
      </c>
      <c r="C893" s="4">
        <v>386</v>
      </c>
      <c r="D893" s="5">
        <v>0.94</v>
      </c>
      <c r="E893" s="6">
        <v>2.0000000000000001E-127</v>
      </c>
      <c r="F893" s="4">
        <v>44.06</v>
      </c>
      <c r="G893" s="4" t="str">
        <f>HYPERLINK("https://www.ncbi.nlm.nih.gov/nucleotide/XM_007866045.1?report=genbank&amp;log$=nucltop&amp;blast_rank=7&amp;RID=29W62RY8013","XM_007866045.1")</f>
        <v>XM_007866045.1</v>
      </c>
    </row>
    <row r="894" spans="1:7" x14ac:dyDescent="0.35">
      <c r="A894" s="4" t="s">
        <v>996</v>
      </c>
      <c r="B894" s="4">
        <v>374</v>
      </c>
      <c r="C894" s="4">
        <v>374</v>
      </c>
      <c r="D894" s="5">
        <v>0.95</v>
      </c>
      <c r="E894" s="6">
        <v>7.0000000000000003E-122</v>
      </c>
      <c r="F894" s="4">
        <v>43.95</v>
      </c>
      <c r="G894" s="4" t="str">
        <f>HYPERLINK("https://www.ncbi.nlm.nih.gov/nucleotide/XM_007388230.1?report=genbank&amp;log$=nucltop&amp;blast_rank=8&amp;RID=29W62RY8013","XM_007388230.1")</f>
        <v>XM_007388230.1</v>
      </c>
    </row>
    <row r="895" spans="1:7" x14ac:dyDescent="0.35">
      <c r="A895" s="4" t="s">
        <v>991</v>
      </c>
      <c r="B895" s="4">
        <v>273</v>
      </c>
      <c r="C895" s="4">
        <v>273</v>
      </c>
      <c r="D895" s="5">
        <v>0.81</v>
      </c>
      <c r="E895" s="6">
        <v>3.0000000000000001E-83</v>
      </c>
      <c r="F895" s="4">
        <v>43.87</v>
      </c>
      <c r="G895" s="4" t="str">
        <f>HYPERLINK("https://www.ncbi.nlm.nih.gov/nucleotide/XM_024850537.1?report=genbank&amp;log$=nucltop&amp;blast_rank=9&amp;RID=29W62RY8013","XM_024850537.1")</f>
        <v>XM_024850537.1</v>
      </c>
    </row>
    <row r="896" spans="1:7" x14ac:dyDescent="0.35">
      <c r="A896" t="s">
        <v>994</v>
      </c>
      <c r="B896">
        <v>381</v>
      </c>
      <c r="C896">
        <v>381</v>
      </c>
      <c r="D896" s="2">
        <v>0.97</v>
      </c>
      <c r="E896" s="3">
        <v>9.9999999999999998E-122</v>
      </c>
      <c r="F896">
        <v>43.74</v>
      </c>
      <c r="G896" t="str">
        <f>HYPERLINK("https://www.ncbi.nlm.nih.gov/nucleotide/XM_007392218.1?report=genbank&amp;log$=nucltop&amp;blast_rank=10&amp;RID=29W62RY8013","XM_007392218.1")</f>
        <v>XM_007392218.1</v>
      </c>
    </row>
    <row r="897" spans="1:7" x14ac:dyDescent="0.35">
      <c r="A897" t="s">
        <v>987</v>
      </c>
      <c r="B897">
        <v>367</v>
      </c>
      <c r="C897">
        <v>367</v>
      </c>
      <c r="D897" s="2">
        <v>0.95</v>
      </c>
      <c r="E897" s="3">
        <v>1E-119</v>
      </c>
      <c r="F897">
        <v>43.56</v>
      </c>
      <c r="G897" t="str">
        <f>HYPERLINK("https://www.ncbi.nlm.nih.gov/nucleotide/XM_036776721.1?report=genbank&amp;log$=nucltop&amp;blast_rank=11&amp;RID=29W62RY8013","XM_036776721.1")</f>
        <v>XM_036776721.1</v>
      </c>
    </row>
    <row r="898" spans="1:7" x14ac:dyDescent="0.35">
      <c r="A898" t="s">
        <v>19</v>
      </c>
      <c r="B898">
        <v>363</v>
      </c>
      <c r="C898">
        <v>363</v>
      </c>
      <c r="D898" s="2">
        <v>0.92</v>
      </c>
      <c r="E898" s="3">
        <v>2E-118</v>
      </c>
      <c r="F898">
        <v>43.52</v>
      </c>
      <c r="G898" t="str">
        <f>HYPERLINK("https://www.ncbi.nlm.nih.gov/nucleotide/XM_001881635.1?report=genbank&amp;log$=nucltop&amp;blast_rank=12&amp;RID=29W62RY8013","XM_001881635.1")</f>
        <v>XM_001881635.1</v>
      </c>
    </row>
    <row r="899" spans="1:7" x14ac:dyDescent="0.35">
      <c r="A899" t="s">
        <v>993</v>
      </c>
      <c r="B899">
        <v>386</v>
      </c>
      <c r="C899">
        <v>386</v>
      </c>
      <c r="D899" s="2">
        <v>0.99</v>
      </c>
      <c r="E899" s="3">
        <v>5.0000000000000001E-126</v>
      </c>
      <c r="F899">
        <v>43.25</v>
      </c>
      <c r="G899" t="str">
        <f>HYPERLINK("https://www.ncbi.nlm.nih.gov/nucleotide/XM_007317950.1?report=genbank&amp;log$=nucltop&amp;blast_rank=13&amp;RID=29W62RY8013","XM_007317950.1")</f>
        <v>XM_007317950.1</v>
      </c>
    </row>
    <row r="900" spans="1:7" x14ac:dyDescent="0.35">
      <c r="A900" t="s">
        <v>990</v>
      </c>
      <c r="B900">
        <v>379</v>
      </c>
      <c r="C900">
        <v>379</v>
      </c>
      <c r="D900" s="2">
        <v>0.94</v>
      </c>
      <c r="E900" s="3">
        <v>9.9999999999999993E-125</v>
      </c>
      <c r="F900">
        <v>43.25</v>
      </c>
      <c r="G900" t="str">
        <f>HYPERLINK("https://www.ncbi.nlm.nih.gov/nucleotide/XM_027760714.1?report=genbank&amp;log$=nucltop&amp;blast_rank=14&amp;RID=29W62RY8013","XM_027760714.1")</f>
        <v>XM_027760714.1</v>
      </c>
    </row>
    <row r="901" spans="1:7" x14ac:dyDescent="0.35">
      <c r="A901" t="s">
        <v>19</v>
      </c>
      <c r="B901">
        <v>366</v>
      </c>
      <c r="C901">
        <v>366</v>
      </c>
      <c r="D901" s="2">
        <v>0.92</v>
      </c>
      <c r="E901" s="3">
        <v>2E-119</v>
      </c>
      <c r="F901">
        <v>43.22</v>
      </c>
      <c r="G901" t="str">
        <f>HYPERLINK("https://www.ncbi.nlm.nih.gov/nucleotide/XM_001884318.1?report=genbank&amp;log$=nucltop&amp;blast_rank=15&amp;RID=29W62RY8013","XM_001884318.1")</f>
        <v>XM_001884318.1</v>
      </c>
    </row>
    <row r="902" spans="1:7" x14ac:dyDescent="0.35">
      <c r="A902" t="s">
        <v>120</v>
      </c>
      <c r="B902">
        <v>364</v>
      </c>
      <c r="C902">
        <v>364</v>
      </c>
      <c r="D902" s="2">
        <v>0.92</v>
      </c>
      <c r="E902" s="3">
        <v>6.9999999999999997E-119</v>
      </c>
      <c r="F902">
        <v>43.22</v>
      </c>
      <c r="G902" t="str">
        <f>HYPERLINK("https://www.ncbi.nlm.nih.gov/nucleotide/XM_012329966.1?report=genbank&amp;log$=nucltop&amp;blast_rank=16&amp;RID=29W62RY8013","XM_012329966.1")</f>
        <v>XM_012329966.1</v>
      </c>
    </row>
    <row r="903" spans="1:7" x14ac:dyDescent="0.35">
      <c r="A903" s="4" t="s">
        <v>1006</v>
      </c>
      <c r="B903" s="4">
        <v>355</v>
      </c>
      <c r="C903" s="4">
        <v>355</v>
      </c>
      <c r="D903" s="5">
        <v>0.93</v>
      </c>
      <c r="E903" s="6">
        <v>6.0000000000000003E-115</v>
      </c>
      <c r="F903" s="4">
        <v>43.14</v>
      </c>
      <c r="G903" s="4" t="str">
        <f>HYPERLINK("https://www.ncbi.nlm.nih.gov/nucleotide/XM_007266223.1?report=genbank&amp;log$=nucltop&amp;blast_rank=17&amp;RID=29W62RY8013","XM_007266223.1")</f>
        <v>XM_007266223.1</v>
      </c>
    </row>
    <row r="904" spans="1:7" x14ac:dyDescent="0.35">
      <c r="A904" s="4" t="s">
        <v>998</v>
      </c>
      <c r="B904" s="4">
        <v>364</v>
      </c>
      <c r="C904" s="4">
        <v>364</v>
      </c>
      <c r="D904" s="5">
        <v>0.94</v>
      </c>
      <c r="E904" s="6">
        <v>2E-116</v>
      </c>
      <c r="F904" s="4">
        <v>43.12</v>
      </c>
      <c r="G904" s="4" t="str">
        <f>HYPERLINK("https://www.ncbi.nlm.nih.gov/nucleotide/XM_007768376.1?report=genbank&amp;log$=nucltop&amp;blast_rank=18&amp;RID=29W62RY8013","XM_007768376.1")</f>
        <v>XM_007768376.1</v>
      </c>
    </row>
    <row r="905" spans="1:7" x14ac:dyDescent="0.35">
      <c r="A905" s="4" t="s">
        <v>988</v>
      </c>
      <c r="B905" s="4">
        <v>363</v>
      </c>
      <c r="C905" s="4">
        <v>363</v>
      </c>
      <c r="D905" s="5">
        <v>0.92</v>
      </c>
      <c r="E905" s="6">
        <v>2E-118</v>
      </c>
      <c r="F905" s="4">
        <v>42.79</v>
      </c>
      <c r="G905" s="4" t="str">
        <f>HYPERLINK("https://www.ncbi.nlm.nih.gov/nucleotide/XM_027760711.1?report=genbank&amp;log$=nucltop&amp;blast_rank=19&amp;RID=29W62RY8013","XM_027760711.1")</f>
        <v>XM_027760711.1</v>
      </c>
    </row>
    <row r="906" spans="1:7" x14ac:dyDescent="0.35">
      <c r="A906" t="s">
        <v>1034</v>
      </c>
      <c r="B906">
        <v>342</v>
      </c>
      <c r="C906">
        <v>342</v>
      </c>
      <c r="D906" s="2">
        <v>0.93</v>
      </c>
      <c r="E906" s="3">
        <v>5.9999999999999997E-110</v>
      </c>
      <c r="F906">
        <v>42.69</v>
      </c>
      <c r="G906" t="str">
        <f>HYPERLINK("https://www.ncbi.nlm.nih.gov/nucleotide/XM_024485735.1?report=genbank&amp;log$=nucltop&amp;blast_rank=20&amp;RID=29W62RY8013","XM_024485735.1")</f>
        <v>XM_024485735.1</v>
      </c>
    </row>
    <row r="907" spans="1:7" x14ac:dyDescent="0.35">
      <c r="A907" t="s">
        <v>997</v>
      </c>
      <c r="B907">
        <v>292</v>
      </c>
      <c r="C907">
        <v>292</v>
      </c>
      <c r="D907" s="2">
        <v>0.72</v>
      </c>
      <c r="E907" s="3">
        <v>1E-91</v>
      </c>
      <c r="F907">
        <v>42.48</v>
      </c>
      <c r="G907" t="str">
        <f>HYPERLINK("https://www.ncbi.nlm.nih.gov/nucleotide/LR725421.1?report=genbank&amp;log$=nucltop&amp;blast_rank=21&amp;RID=29W62RY8013","LR725421.1")</f>
        <v>LR725421.1</v>
      </c>
    </row>
    <row r="908" spans="1:7" x14ac:dyDescent="0.35">
      <c r="A908" s="4" t="s">
        <v>1000</v>
      </c>
      <c r="B908" s="4">
        <v>283</v>
      </c>
      <c r="C908" s="4">
        <v>283</v>
      </c>
      <c r="D908" s="5">
        <v>0.85</v>
      </c>
      <c r="E908" s="6">
        <v>2E-87</v>
      </c>
      <c r="F908" s="4">
        <v>42.46</v>
      </c>
      <c r="G908" s="4" t="str">
        <f>HYPERLINK("https://www.ncbi.nlm.nih.gov/nucleotide/XM_025607927.1?report=genbank&amp;log$=nucltop&amp;blast_rank=22&amp;RID=29W62RY8013","XM_025607927.1")</f>
        <v>XM_025607927.1</v>
      </c>
    </row>
    <row r="909" spans="1:7" x14ac:dyDescent="0.35">
      <c r="A909" t="s">
        <v>1007</v>
      </c>
      <c r="B909">
        <v>273</v>
      </c>
      <c r="C909">
        <v>273</v>
      </c>
      <c r="D909" s="2">
        <v>0.86</v>
      </c>
      <c r="E909" s="3">
        <v>8.0000000000000003E-84</v>
      </c>
      <c r="F909">
        <v>42.38</v>
      </c>
      <c r="G909" t="str">
        <f>HYPERLINK("https://www.ncbi.nlm.nih.gov/nucleotide/XM_033573109.1?report=genbank&amp;log$=nucltop&amp;blast_rank=23&amp;RID=29W62RY8013","XM_033573109.1")</f>
        <v>XM_033573109.1</v>
      </c>
    </row>
    <row r="910" spans="1:7" x14ac:dyDescent="0.35">
      <c r="A910" s="4" t="s">
        <v>989</v>
      </c>
      <c r="B910" s="4">
        <v>367</v>
      </c>
      <c r="C910" s="4">
        <v>367</v>
      </c>
      <c r="D910" s="5">
        <v>0.9</v>
      </c>
      <c r="E910" s="6">
        <v>5.0000000000000001E-120</v>
      </c>
      <c r="F910" s="4">
        <v>42.35</v>
      </c>
      <c r="G910" s="4" t="str">
        <f>HYPERLINK("https://www.ncbi.nlm.nih.gov/nucleotide/XM_007871899.1?report=genbank&amp;log$=nucltop&amp;blast_rank=24&amp;RID=29W62RY8013","XM_007871899.1")</f>
        <v>XM_007871899.1</v>
      </c>
    </row>
    <row r="911" spans="1:7" x14ac:dyDescent="0.35">
      <c r="A911" s="4" t="s">
        <v>1012</v>
      </c>
      <c r="B911" s="4">
        <v>277</v>
      </c>
      <c r="C911" s="4">
        <v>277</v>
      </c>
      <c r="D911" s="5">
        <v>0.83</v>
      </c>
      <c r="E911" s="6">
        <v>2.0000000000000001E-83</v>
      </c>
      <c r="F911" s="4">
        <v>42.02</v>
      </c>
      <c r="G911" s="4" t="str">
        <f>HYPERLINK("https://www.ncbi.nlm.nih.gov/nucleotide/XM_032076481.1?report=genbank&amp;log$=nucltop&amp;blast_rank=25&amp;RID=29W62RY8013","XM_032076481.1")</f>
        <v>XM_032076481.1</v>
      </c>
    </row>
    <row r="912" spans="1:7" x14ac:dyDescent="0.35">
      <c r="A912" s="4" t="s">
        <v>1035</v>
      </c>
      <c r="B912" s="4">
        <v>306</v>
      </c>
      <c r="C912" s="4">
        <v>306</v>
      </c>
      <c r="D912" s="5">
        <v>0.92</v>
      </c>
      <c r="E912" s="6">
        <v>6.0000000000000003E-96</v>
      </c>
      <c r="F912" s="4">
        <v>41.89</v>
      </c>
      <c r="G912" s="4" t="str">
        <f>HYPERLINK("https://www.ncbi.nlm.nih.gov/nucleotide/XM_007269860.1?report=genbank&amp;log$=nucltop&amp;blast_rank=26&amp;RID=29W62RY8013","XM_007269860.1")</f>
        <v>XM_007269860.1</v>
      </c>
    </row>
    <row r="913" spans="1:7" x14ac:dyDescent="0.35">
      <c r="A913" s="4" t="s">
        <v>1011</v>
      </c>
      <c r="B913" s="4">
        <v>284</v>
      </c>
      <c r="C913" s="4">
        <v>284</v>
      </c>
      <c r="D913" s="5">
        <v>0.86</v>
      </c>
      <c r="E913" s="6">
        <v>1E-87</v>
      </c>
      <c r="F913" s="4">
        <v>41.85</v>
      </c>
      <c r="G913" s="4" t="str">
        <f>HYPERLINK("https://www.ncbi.nlm.nih.gov/nucleotide/XM_032057277.1?report=genbank&amp;log$=nucltop&amp;blast_rank=27&amp;RID=29W62RY8013","XM_032057277.1")</f>
        <v>XM_032057277.1</v>
      </c>
    </row>
    <row r="914" spans="1:7" x14ac:dyDescent="0.35">
      <c r="A914" t="s">
        <v>1010</v>
      </c>
      <c r="B914">
        <v>368</v>
      </c>
      <c r="C914">
        <v>368</v>
      </c>
      <c r="D914" s="2">
        <v>0.92</v>
      </c>
      <c r="E914" s="3">
        <v>3.0000000000000001E-120</v>
      </c>
      <c r="F914">
        <v>41.7</v>
      </c>
      <c r="G914" t="str">
        <f>HYPERLINK("https://www.ncbi.nlm.nih.gov/nucleotide/XM_036781068.1?report=genbank&amp;log$=nucltop&amp;blast_rank=28&amp;RID=29W62RY8013","XM_036781068.1")</f>
        <v>XM_036781068.1</v>
      </c>
    </row>
    <row r="915" spans="1:7" x14ac:dyDescent="0.35">
      <c r="A915" s="4" t="s">
        <v>1003</v>
      </c>
      <c r="B915" s="4">
        <v>270</v>
      </c>
      <c r="C915" s="4">
        <v>270</v>
      </c>
      <c r="D915" s="5">
        <v>0.85</v>
      </c>
      <c r="E915" s="6">
        <v>3.9999999999999998E-82</v>
      </c>
      <c r="F915" s="4">
        <v>41.67</v>
      </c>
      <c r="G915" s="4" t="str">
        <f>HYPERLINK("https://www.ncbi.nlm.nih.gov/nucleotide/XM_001394280.2?report=genbank&amp;log$=nucltop&amp;blast_rank=29&amp;RID=29W62RY8013","XM_001394280.2")</f>
        <v>XM_001394280.2</v>
      </c>
    </row>
    <row r="916" spans="1:7" x14ac:dyDescent="0.35">
      <c r="A916" s="4" t="s">
        <v>999</v>
      </c>
      <c r="B916" s="4">
        <v>281</v>
      </c>
      <c r="C916" s="4">
        <v>281</v>
      </c>
      <c r="D916" s="5">
        <v>0.86</v>
      </c>
      <c r="E916" s="6">
        <v>3.0000000000000001E-86</v>
      </c>
      <c r="F916" s="4">
        <v>41.65</v>
      </c>
      <c r="G916" s="4" t="str">
        <f>HYPERLINK("https://www.ncbi.nlm.nih.gov/nucleotide/XM_025723384.1?report=genbank&amp;log$=nucltop&amp;blast_rank=30&amp;RID=29W62RY8013","XM_025723384.1")</f>
        <v>XM_025723384.1</v>
      </c>
    </row>
    <row r="917" spans="1:7" x14ac:dyDescent="0.35">
      <c r="A917" s="4" t="s">
        <v>1018</v>
      </c>
      <c r="B917" s="4">
        <v>271</v>
      </c>
      <c r="C917" s="4">
        <v>271</v>
      </c>
      <c r="D917" s="5">
        <v>0.86</v>
      </c>
      <c r="E917" s="6">
        <v>9.9999999999999996E-83</v>
      </c>
      <c r="F917" s="4">
        <v>41.54</v>
      </c>
      <c r="G917" s="4" t="str">
        <f>HYPERLINK("https://www.ncbi.nlm.nih.gov/nucleotide/XM_032044673.1?report=genbank&amp;log$=nucltop&amp;blast_rank=31&amp;RID=29W62RY8013","XM_032044673.1")</f>
        <v>XM_032044673.1</v>
      </c>
    </row>
    <row r="918" spans="1:7" x14ac:dyDescent="0.35">
      <c r="A918" s="4" t="s">
        <v>1023</v>
      </c>
      <c r="B918" s="4">
        <v>273</v>
      </c>
      <c r="C918" s="4">
        <v>273</v>
      </c>
      <c r="D918" s="5">
        <v>0.83</v>
      </c>
      <c r="E918" s="6">
        <v>2.0000000000000001E-83</v>
      </c>
      <c r="F918" s="4">
        <v>41.49</v>
      </c>
      <c r="G918" s="4" t="str">
        <f>HYPERLINK("https://www.ncbi.nlm.nih.gov/nucleotide/XM_022528035.1?report=genbank&amp;log$=nucltop&amp;blast_rank=32&amp;RID=29W62RY8013","XM_022528035.1")</f>
        <v>XM_022528035.1</v>
      </c>
    </row>
    <row r="919" spans="1:7" x14ac:dyDescent="0.35">
      <c r="A919" s="4" t="s">
        <v>1001</v>
      </c>
      <c r="B919" s="4">
        <v>271</v>
      </c>
      <c r="C919" s="4">
        <v>271</v>
      </c>
      <c r="D919" s="5">
        <v>0.85</v>
      </c>
      <c r="E919" s="6">
        <v>4.0000000000000001E-83</v>
      </c>
      <c r="F919" s="4">
        <v>41.41</v>
      </c>
      <c r="G919" s="4" t="str">
        <f>HYPERLINK("https://www.ncbi.nlm.nih.gov/nucleotide/XM_025683498.1?report=genbank&amp;log$=nucltop&amp;blast_rank=33&amp;RID=29W62RY8013","XM_025683498.1")</f>
        <v>XM_025683498.1</v>
      </c>
    </row>
    <row r="920" spans="1:7" x14ac:dyDescent="0.35">
      <c r="A920" s="4" t="s">
        <v>1371</v>
      </c>
      <c r="B920" s="4">
        <v>266</v>
      </c>
      <c r="C920" s="4">
        <v>266</v>
      </c>
      <c r="D920" s="5">
        <v>0.83</v>
      </c>
      <c r="E920" s="6">
        <v>3E-79</v>
      </c>
      <c r="F920" s="4">
        <v>41.29</v>
      </c>
      <c r="G920" s="4" t="str">
        <f>HYPERLINK("https://www.ncbi.nlm.nih.gov/nucleotide/XM_025630567.1?report=genbank&amp;log$=nucltop&amp;blast_rank=34&amp;RID=29W62RY8013","XM_025630567.1")</f>
        <v>XM_025630567.1</v>
      </c>
    </row>
    <row r="921" spans="1:7" x14ac:dyDescent="0.35">
      <c r="A921" s="4" t="s">
        <v>1016</v>
      </c>
      <c r="B921" s="4">
        <v>261</v>
      </c>
      <c r="C921" s="4">
        <v>261</v>
      </c>
      <c r="D921" s="5">
        <v>0.85</v>
      </c>
      <c r="E921" s="6">
        <v>9.0000000000000006E-79</v>
      </c>
      <c r="F921" s="4">
        <v>41.25</v>
      </c>
      <c r="G921" s="4" t="str">
        <f>HYPERLINK("https://www.ncbi.nlm.nih.gov/nucleotide/XM_025696146.1?report=genbank&amp;log$=nucltop&amp;blast_rank=35&amp;RID=29W62RY8013","XM_025696146.1")</f>
        <v>XM_025696146.1</v>
      </c>
    </row>
    <row r="922" spans="1:7" x14ac:dyDescent="0.35">
      <c r="A922" s="4" t="s">
        <v>1027</v>
      </c>
      <c r="B922" s="4">
        <v>326</v>
      </c>
      <c r="C922" s="4">
        <v>326</v>
      </c>
      <c r="D922" s="5">
        <v>0.98</v>
      </c>
      <c r="E922" s="6">
        <v>3E-103</v>
      </c>
      <c r="F922" s="4">
        <v>41.23</v>
      </c>
      <c r="G922" s="4" t="str">
        <f>HYPERLINK("https://www.ncbi.nlm.nih.gov/nucleotide/XM_007309940.1?report=genbank&amp;log$=nucltop&amp;blast_rank=36&amp;RID=29W62RY8013","XM_007309940.1")</f>
        <v>XM_007309940.1</v>
      </c>
    </row>
    <row r="923" spans="1:7" x14ac:dyDescent="0.35">
      <c r="A923" s="4" t="s">
        <v>1005</v>
      </c>
      <c r="B923" s="4">
        <v>270</v>
      </c>
      <c r="C923" s="4">
        <v>270</v>
      </c>
      <c r="D923" s="5">
        <v>0.85</v>
      </c>
      <c r="E923" s="6">
        <v>3.9999999999999998E-82</v>
      </c>
      <c r="F923" s="4">
        <v>41.15</v>
      </c>
      <c r="G923" s="4" t="str">
        <f>HYPERLINK("https://www.ncbi.nlm.nih.gov/nucleotide/XM_035501714.1?report=genbank&amp;log$=nucltop&amp;blast_rank=37&amp;RID=29W62RY8013","XM_035501714.1")</f>
        <v>XM_035501714.1</v>
      </c>
    </row>
    <row r="924" spans="1:7" x14ac:dyDescent="0.35">
      <c r="A924" t="s">
        <v>1022</v>
      </c>
      <c r="B924">
        <v>269</v>
      </c>
      <c r="C924">
        <v>269</v>
      </c>
      <c r="D924" s="2">
        <v>0.83</v>
      </c>
      <c r="E924" s="3">
        <v>8.9999999999999997E-82</v>
      </c>
      <c r="F924">
        <v>41.15</v>
      </c>
      <c r="G924" t="str">
        <f>HYPERLINK("https://www.ncbi.nlm.nih.gov/nucleotide/XM_032018206.1?report=genbank&amp;log$=nucltop&amp;blast_rank=38&amp;RID=29W62RY8013","XM_032018206.1")</f>
        <v>XM_032018206.1</v>
      </c>
    </row>
    <row r="925" spans="1:7" x14ac:dyDescent="0.35">
      <c r="A925" s="4" t="s">
        <v>1025</v>
      </c>
      <c r="B925" s="4">
        <v>279</v>
      </c>
      <c r="C925" s="4">
        <v>279</v>
      </c>
      <c r="D925" s="5">
        <v>0.83</v>
      </c>
      <c r="E925" s="6">
        <v>8.0000000000000007E-86</v>
      </c>
      <c r="F925" s="4">
        <v>41.07</v>
      </c>
      <c r="G925" s="4" t="str">
        <f>HYPERLINK("https://www.ncbi.nlm.nih.gov/nucleotide/XM_025703188.1?report=genbank&amp;log$=nucltop&amp;blast_rank=39&amp;RID=29W62RY8013","XM_025703188.1")</f>
        <v>XM_025703188.1</v>
      </c>
    </row>
    <row r="926" spans="1:7" x14ac:dyDescent="0.35">
      <c r="A926" s="4" t="s">
        <v>1009</v>
      </c>
      <c r="B926" s="4">
        <v>278</v>
      </c>
      <c r="C926" s="4">
        <v>278</v>
      </c>
      <c r="D926" s="5">
        <v>0.83</v>
      </c>
      <c r="E926" s="6">
        <v>8.0000000000000007E-86</v>
      </c>
      <c r="F926" s="4">
        <v>41.07</v>
      </c>
      <c r="G926" s="4" t="str">
        <f>HYPERLINK("https://www.ncbi.nlm.nih.gov/nucleotide/XM_025619185.1?report=genbank&amp;log$=nucltop&amp;blast_rank=40&amp;RID=29W62RY8013","XM_025619185.1")</f>
        <v>XM_025619185.1</v>
      </c>
    </row>
    <row r="927" spans="1:7" x14ac:dyDescent="0.35">
      <c r="A927" s="4" t="s">
        <v>1014</v>
      </c>
      <c r="B927" s="4">
        <v>277</v>
      </c>
      <c r="C927" s="4">
        <v>277</v>
      </c>
      <c r="D927" s="5">
        <v>0.83</v>
      </c>
      <c r="E927" s="6">
        <v>3.9999999999999999E-85</v>
      </c>
      <c r="F927" s="4">
        <v>41.07</v>
      </c>
      <c r="G927" s="4" t="str">
        <f>HYPERLINK("https://www.ncbi.nlm.nih.gov/nucleotide/XM_025594414.1?report=genbank&amp;log$=nucltop&amp;blast_rank=41&amp;RID=29W62RY8013","XM_025594414.1")</f>
        <v>XM_025594414.1</v>
      </c>
    </row>
    <row r="928" spans="1:7" x14ac:dyDescent="0.35">
      <c r="A928" s="4" t="s">
        <v>1002</v>
      </c>
      <c r="B928" s="4">
        <v>271</v>
      </c>
      <c r="C928" s="4">
        <v>271</v>
      </c>
      <c r="D928" s="5">
        <v>0.82</v>
      </c>
      <c r="E928" s="6">
        <v>7.0000000000000006E-83</v>
      </c>
      <c r="F928" s="4">
        <v>41.03</v>
      </c>
      <c r="G928" s="4" t="str">
        <f>HYPERLINK("https://www.ncbi.nlm.nih.gov/nucleotide/XM_026770801.1?report=genbank&amp;log$=nucltop&amp;blast_rank=42&amp;RID=29W62RY8013","XM_026770801.1")</f>
        <v>XM_026770801.1</v>
      </c>
    </row>
    <row r="929" spans="1:7" x14ac:dyDescent="0.35">
      <c r="A929" s="4" t="s">
        <v>1019</v>
      </c>
      <c r="B929" s="4">
        <v>326</v>
      </c>
      <c r="C929" s="4">
        <v>326</v>
      </c>
      <c r="D929" s="5">
        <v>0.91</v>
      </c>
      <c r="E929" s="6">
        <v>4.9999999999999998E-104</v>
      </c>
      <c r="F929" s="4">
        <v>41.03</v>
      </c>
      <c r="G929" s="4" t="str">
        <f>HYPERLINK("https://www.ncbi.nlm.nih.gov/nucleotide/XM_007269626.1?report=genbank&amp;log$=nucltop&amp;blast_rank=43&amp;RID=29W62RY8013","XM_007269626.1")</f>
        <v>XM_007269626.1</v>
      </c>
    </row>
    <row r="930" spans="1:7" x14ac:dyDescent="0.35">
      <c r="A930" s="4" t="s">
        <v>1041</v>
      </c>
      <c r="B930" s="4">
        <v>299</v>
      </c>
      <c r="C930" s="4">
        <v>299</v>
      </c>
      <c r="D930" s="5">
        <v>0.97</v>
      </c>
      <c r="E930" s="6">
        <v>2E-92</v>
      </c>
      <c r="F930" s="4">
        <v>41.01</v>
      </c>
      <c r="G930" s="4" t="str">
        <f>HYPERLINK("https://www.ncbi.nlm.nih.gov/nucleotide/XM_001829757.2?report=genbank&amp;log$=nucltop&amp;blast_rank=44&amp;RID=29W62RY8013","XM_001829757.2")</f>
        <v>XM_001829757.2</v>
      </c>
    </row>
    <row r="931" spans="1:7" x14ac:dyDescent="0.35">
      <c r="A931" s="4" t="s">
        <v>1017</v>
      </c>
      <c r="B931" s="4">
        <v>381</v>
      </c>
      <c r="C931" s="4">
        <v>381</v>
      </c>
      <c r="D931" s="5">
        <v>0.99</v>
      </c>
      <c r="E931" s="6">
        <v>2.0000000000000001E-122</v>
      </c>
      <c r="F931" s="4">
        <v>40.950000000000003</v>
      </c>
      <c r="G931" s="4" t="str">
        <f>HYPERLINK("https://www.ncbi.nlm.nih.gov/nucleotide/XM_008046400.1?report=genbank&amp;log$=nucltop&amp;blast_rank=45&amp;RID=29W62RY8013","XM_008046400.1")</f>
        <v>XM_008046400.1</v>
      </c>
    </row>
    <row r="932" spans="1:7" x14ac:dyDescent="0.35">
      <c r="A932" s="4" t="s">
        <v>1020</v>
      </c>
      <c r="B932" s="4">
        <v>269</v>
      </c>
      <c r="C932" s="4">
        <v>269</v>
      </c>
      <c r="D932" s="5">
        <v>0.84</v>
      </c>
      <c r="E932" s="6">
        <v>3E-79</v>
      </c>
      <c r="F932" s="4">
        <v>40.79</v>
      </c>
      <c r="G932" s="4" t="str">
        <f>HYPERLINK("https://www.ncbi.nlm.nih.gov/nucleotide/XM_015553318.1?report=genbank&amp;log$=nucltop&amp;blast_rank=46&amp;RID=29W62RY8013","XM_015553318.1")</f>
        <v>XM_015553318.1</v>
      </c>
    </row>
    <row r="933" spans="1:7" x14ac:dyDescent="0.35">
      <c r="A933" t="s">
        <v>1004</v>
      </c>
      <c r="B933">
        <v>268</v>
      </c>
      <c r="C933">
        <v>268</v>
      </c>
      <c r="D933" s="2">
        <v>0.83</v>
      </c>
      <c r="E933" s="3">
        <v>9.9999999999999996E-82</v>
      </c>
      <c r="F933">
        <v>40.64</v>
      </c>
      <c r="G933" t="str">
        <f>HYPERLINK("https://www.ncbi.nlm.nih.gov/nucleotide/XM_654393.1?report=genbank&amp;log$=nucltop&amp;blast_rank=47&amp;RID=29W62RY8013","XM_654393.1")</f>
        <v>XM_654393.1</v>
      </c>
    </row>
    <row r="934" spans="1:7" x14ac:dyDescent="0.35">
      <c r="A934" s="4" t="s">
        <v>1028</v>
      </c>
      <c r="B934" s="4">
        <v>275</v>
      </c>
      <c r="C934" s="4">
        <v>275</v>
      </c>
      <c r="D934" s="5">
        <v>0.84</v>
      </c>
      <c r="E934" s="6">
        <v>4.0000000000000001E-83</v>
      </c>
      <c r="F934" s="4">
        <v>40.43</v>
      </c>
      <c r="G934" s="4" t="str">
        <f>HYPERLINK("https://www.ncbi.nlm.nih.gov/nucleotide/XM_025655341.1?report=genbank&amp;log$=nucltop&amp;blast_rank=48&amp;RID=29W62RY8013","XM_025655341.1")</f>
        <v>XM_025655341.1</v>
      </c>
    </row>
    <row r="935" spans="1:7" x14ac:dyDescent="0.35">
      <c r="A935" t="s">
        <v>21</v>
      </c>
      <c r="B935">
        <v>312</v>
      </c>
      <c r="C935">
        <v>312</v>
      </c>
      <c r="D935" s="2">
        <v>0.93</v>
      </c>
      <c r="E935" s="3">
        <v>7.0000000000000004E-97</v>
      </c>
      <c r="F935">
        <v>40.31</v>
      </c>
      <c r="G935" t="str">
        <f>HYPERLINK("https://www.ncbi.nlm.nih.gov/nucleotide/XM_009552917.1?report=genbank&amp;log$=nucltop&amp;blast_rank=49&amp;RID=29W62RY8013","XM_009552917.1")</f>
        <v>XM_009552917.1</v>
      </c>
    </row>
    <row r="936" spans="1:7" x14ac:dyDescent="0.35">
      <c r="A936" s="4" t="s">
        <v>1008</v>
      </c>
      <c r="B936" s="4">
        <v>349</v>
      </c>
      <c r="C936" s="4">
        <v>349</v>
      </c>
      <c r="D936" s="5">
        <v>0.97</v>
      </c>
      <c r="E936" s="6">
        <v>1.9999999999999999E-112</v>
      </c>
      <c r="F936" s="4">
        <v>40.26</v>
      </c>
      <c r="G936" s="4" t="str">
        <f>HYPERLINK("https://www.ncbi.nlm.nih.gov/nucleotide/XM_037368255.1?report=genbank&amp;log$=nucltop&amp;blast_rank=50&amp;RID=29W62RY8013","XM_037368255.1")</f>
        <v>XM_037368255.1</v>
      </c>
    </row>
    <row r="937" spans="1:7" x14ac:dyDescent="0.35">
      <c r="A937" t="s">
        <v>1015</v>
      </c>
      <c r="B937">
        <v>276</v>
      </c>
      <c r="C937">
        <v>276</v>
      </c>
      <c r="D937" s="2">
        <v>0.86</v>
      </c>
      <c r="E937" s="3">
        <v>2.0000000000000001E-84</v>
      </c>
      <c r="F937">
        <v>40.26</v>
      </c>
      <c r="G937" t="str">
        <f>HYPERLINK("https://www.ncbi.nlm.nih.gov/nucleotide/XM_026746769.1?report=genbank&amp;log$=nucltop&amp;blast_rank=51&amp;RID=29W62RY8013","XM_026746769.1")</f>
        <v>XM_026746769.1</v>
      </c>
    </row>
    <row r="938" spans="1:7" x14ac:dyDescent="0.35">
      <c r="A938" t="s">
        <v>1021</v>
      </c>
      <c r="B938">
        <v>262</v>
      </c>
      <c r="C938">
        <v>262</v>
      </c>
      <c r="D938" s="2">
        <v>0.92</v>
      </c>
      <c r="E938" s="3">
        <v>2E-79</v>
      </c>
      <c r="F938">
        <v>40.24</v>
      </c>
      <c r="G938" t="str">
        <f>HYPERLINK("https://www.ncbi.nlm.nih.gov/nucleotide/XM_039073558.1?report=genbank&amp;log$=nucltop&amp;blast_rank=52&amp;RID=29W62RY8013","XM_039073558.1")</f>
        <v>XM_039073558.1</v>
      </c>
    </row>
    <row r="939" spans="1:7" x14ac:dyDescent="0.35">
      <c r="A939" t="s">
        <v>254</v>
      </c>
      <c r="B939">
        <v>275</v>
      </c>
      <c r="C939">
        <v>275</v>
      </c>
      <c r="D939" s="2">
        <v>0.84</v>
      </c>
      <c r="E939" s="3">
        <v>6.0000000000000002E-84</v>
      </c>
      <c r="F939">
        <v>40.1</v>
      </c>
      <c r="G939" t="str">
        <f>HYPERLINK("https://www.ncbi.nlm.nih.gov/nucleotide/XM_018274493.1?report=genbank&amp;log$=nucltop&amp;blast_rank=53&amp;RID=29W62RY8013","XM_018274493.1")</f>
        <v>XM_018274493.1</v>
      </c>
    </row>
    <row r="940" spans="1:7" x14ac:dyDescent="0.35">
      <c r="A940" s="4" t="s">
        <v>1372</v>
      </c>
      <c r="B940" s="4">
        <v>268</v>
      </c>
      <c r="C940" s="4">
        <v>268</v>
      </c>
      <c r="D940" s="5">
        <v>0.84</v>
      </c>
      <c r="E940" s="6">
        <v>1.9999999999999999E-81</v>
      </c>
      <c r="F940" s="4">
        <v>39.79</v>
      </c>
      <c r="G940" s="4" t="str">
        <f>HYPERLINK("https://www.ncbi.nlm.nih.gov/nucleotide/XM_032030794.1?report=genbank&amp;log$=nucltop&amp;blast_rank=54&amp;RID=29W62RY8013","XM_032030794.1")</f>
        <v>XM_032030794.1</v>
      </c>
    </row>
    <row r="941" spans="1:7" x14ac:dyDescent="0.35">
      <c r="A941" s="4" t="s">
        <v>1373</v>
      </c>
      <c r="B941" s="4">
        <v>268</v>
      </c>
      <c r="C941" s="4">
        <v>268</v>
      </c>
      <c r="D941" s="5">
        <v>0.84</v>
      </c>
      <c r="E941" s="6">
        <v>3.9999999999999998E-81</v>
      </c>
      <c r="F941" s="4">
        <v>39.79</v>
      </c>
      <c r="G941" s="4" t="str">
        <f>HYPERLINK("https://www.ncbi.nlm.nih.gov/nucleotide/XM_036643147.1?report=genbank&amp;log$=nucltop&amp;blast_rank=55&amp;RID=29W62RY8013","XM_036643147.1")</f>
        <v>XM_036643147.1</v>
      </c>
    </row>
    <row r="942" spans="1:7" x14ac:dyDescent="0.35">
      <c r="A942" s="4" t="s">
        <v>1374</v>
      </c>
      <c r="B942" s="4">
        <v>266</v>
      </c>
      <c r="C942" s="4">
        <v>266</v>
      </c>
      <c r="D942" s="5">
        <v>0.84</v>
      </c>
      <c r="E942" s="6">
        <v>1.9999999999999999E-80</v>
      </c>
      <c r="F942" s="4">
        <v>39.479999999999997</v>
      </c>
      <c r="G942" s="4" t="str">
        <f>HYPERLINK("https://www.ncbi.nlm.nih.gov/nucleotide/XM_022616474.1?report=genbank&amp;log$=nucltop&amp;blast_rank=56&amp;RID=29W62RY8013","XM_022616474.1")</f>
        <v>XM_022616474.1</v>
      </c>
    </row>
    <row r="943" spans="1:7" x14ac:dyDescent="0.35">
      <c r="A943" s="4" t="s">
        <v>1375</v>
      </c>
      <c r="B943" s="4">
        <v>275</v>
      </c>
      <c r="C943" s="4">
        <v>275</v>
      </c>
      <c r="D943" s="5">
        <v>0.91</v>
      </c>
      <c r="E943" s="6">
        <v>9.9999999999999996E-82</v>
      </c>
      <c r="F943" s="4">
        <v>39.47</v>
      </c>
      <c r="G943" s="4" t="str">
        <f>HYPERLINK("https://www.ncbi.nlm.nih.gov/nucleotide/XM_025540375.1?report=genbank&amp;log$=nucltop&amp;blast_rank=57&amp;RID=29W62RY8013","XM_025540375.1")</f>
        <v>XM_025540375.1</v>
      </c>
    </row>
    <row r="944" spans="1:7" x14ac:dyDescent="0.35">
      <c r="A944" s="4" t="s">
        <v>1376</v>
      </c>
      <c r="B944" s="4">
        <v>260</v>
      </c>
      <c r="C944" s="4">
        <v>260</v>
      </c>
      <c r="D944" s="5">
        <v>0.84</v>
      </c>
      <c r="E944" s="6">
        <v>2E-78</v>
      </c>
      <c r="F944" s="4">
        <v>39.270000000000003</v>
      </c>
      <c r="G944" s="4" t="str">
        <f>HYPERLINK("https://www.ncbi.nlm.nih.gov/nucleotide/XM_008096711.1?report=genbank&amp;log$=nucltop&amp;blast_rank=58&amp;RID=29W62RY8013","XM_008096711.1")</f>
        <v>XM_008096711.1</v>
      </c>
    </row>
    <row r="945" spans="1:7" x14ac:dyDescent="0.35">
      <c r="A945" s="4" t="s">
        <v>1377</v>
      </c>
      <c r="B945" s="4">
        <v>268</v>
      </c>
      <c r="C945" s="4">
        <v>268</v>
      </c>
      <c r="D945" s="5">
        <v>0.84</v>
      </c>
      <c r="E945" s="6">
        <v>3.9999999999999998E-81</v>
      </c>
      <c r="F945" s="4">
        <v>39.11</v>
      </c>
      <c r="G945" s="4" t="str">
        <f>HYPERLINK("https://www.ncbi.nlm.nih.gov/nucleotide/KU668560.1?report=genbank&amp;log$=nucltop&amp;blast_rank=59&amp;RID=29W62RY8013","KU668560.1")</f>
        <v>KU668560.1</v>
      </c>
    </row>
    <row r="946" spans="1:7" x14ac:dyDescent="0.35">
      <c r="A946" t="s">
        <v>261</v>
      </c>
      <c r="B946">
        <v>267</v>
      </c>
      <c r="C946">
        <v>267</v>
      </c>
      <c r="D946" s="2">
        <v>0.87</v>
      </c>
      <c r="E946" s="3">
        <v>7.9999999999999997E-81</v>
      </c>
      <c r="F946">
        <v>39.04</v>
      </c>
      <c r="G946" t="str">
        <f>HYPERLINK("https://www.ncbi.nlm.nih.gov/nucleotide/XM_007832494.1?report=genbank&amp;log$=nucltop&amp;blast_rank=60&amp;RID=29W62RY8013","XM_007832494.1")</f>
        <v>XM_007832494.1</v>
      </c>
    </row>
    <row r="947" spans="1:7" x14ac:dyDescent="0.35">
      <c r="A947" t="s">
        <v>1030</v>
      </c>
      <c r="B947">
        <v>263</v>
      </c>
      <c r="C947">
        <v>263</v>
      </c>
      <c r="D947" s="2">
        <v>0.87</v>
      </c>
      <c r="E947" s="3">
        <v>1E-79</v>
      </c>
      <c r="F947">
        <v>39.03</v>
      </c>
      <c r="G947" t="str">
        <f>HYPERLINK("https://www.ncbi.nlm.nih.gov/nucleotide/XM_022635796.1?report=genbank&amp;log$=nucltop&amp;blast_rank=61&amp;RID=29W62RY8013","XM_022635796.1")</f>
        <v>XM_022635796.1</v>
      </c>
    </row>
    <row r="948" spans="1:7" x14ac:dyDescent="0.35">
      <c r="A948" t="s">
        <v>1378</v>
      </c>
      <c r="B948">
        <v>262</v>
      </c>
      <c r="C948">
        <v>262</v>
      </c>
      <c r="D948" s="2">
        <v>0.83</v>
      </c>
      <c r="E948" s="3">
        <v>5E-79</v>
      </c>
      <c r="F948">
        <v>39.01</v>
      </c>
      <c r="G948" t="str">
        <f>HYPERLINK("https://www.ncbi.nlm.nih.gov/nucleotide/XM_020278624.1?report=genbank&amp;log$=nucltop&amp;blast_rank=62&amp;RID=29W62RY8013","XM_020278624.1")</f>
        <v>XM_020278624.1</v>
      </c>
    </row>
    <row r="949" spans="1:7" x14ac:dyDescent="0.35">
      <c r="A949" t="s">
        <v>1379</v>
      </c>
      <c r="B949">
        <v>270</v>
      </c>
      <c r="C949">
        <v>270</v>
      </c>
      <c r="D949" s="2">
        <v>0.86</v>
      </c>
      <c r="E949" s="3">
        <v>2.9999999999999999E-82</v>
      </c>
      <c r="F949">
        <v>38.97</v>
      </c>
      <c r="G949" t="str">
        <f>HYPERLINK("https://www.ncbi.nlm.nih.gov/nucleotide/XM_003042104.1?report=genbank&amp;log$=nucltop&amp;blast_rank=63&amp;RID=29W62RY8013","XM_003042104.1")</f>
        <v>XM_003042104.1</v>
      </c>
    </row>
    <row r="950" spans="1:7" x14ac:dyDescent="0.35">
      <c r="A950" s="4" t="s">
        <v>1038</v>
      </c>
      <c r="B950" s="4">
        <v>261</v>
      </c>
      <c r="C950" s="4">
        <v>261</v>
      </c>
      <c r="D950" s="5">
        <v>0.93</v>
      </c>
      <c r="E950" s="6">
        <v>9.0000000000000006E-79</v>
      </c>
      <c r="F950" s="4">
        <v>38.86</v>
      </c>
      <c r="G950" s="4" t="str">
        <f>HYPERLINK("https://www.ncbi.nlm.nih.gov/nucleotide/XM_007727169.1?report=genbank&amp;log$=nucltop&amp;blast_rank=64&amp;RID=29W62RY8013","XM_007727169.1")</f>
        <v>XM_007727169.1</v>
      </c>
    </row>
    <row r="951" spans="1:7" x14ac:dyDescent="0.35">
      <c r="A951" s="4" t="s">
        <v>1380</v>
      </c>
      <c r="B951" s="4">
        <v>266</v>
      </c>
      <c r="C951" s="4">
        <v>266</v>
      </c>
      <c r="D951" s="5">
        <v>0.84</v>
      </c>
      <c r="E951" s="6">
        <v>3.0000000000000001E-80</v>
      </c>
      <c r="F951" s="4">
        <v>38.799999999999997</v>
      </c>
      <c r="G951" s="4" t="str">
        <f>HYPERLINK("https://www.ncbi.nlm.nih.gov/nucleotide/XM_038888401.1?report=genbank&amp;log$=nucltop&amp;blast_rank=65&amp;RID=29W62RY8013","XM_038888401.1")</f>
        <v>XM_038888401.1</v>
      </c>
    </row>
    <row r="952" spans="1:7" x14ac:dyDescent="0.35">
      <c r="A952" t="s">
        <v>1037</v>
      </c>
      <c r="B952">
        <v>267</v>
      </c>
      <c r="C952">
        <v>267</v>
      </c>
      <c r="D952" s="2">
        <v>0.85</v>
      </c>
      <c r="E952" s="3">
        <v>1.9999999999999999E-81</v>
      </c>
      <c r="F952">
        <v>38.659999999999997</v>
      </c>
      <c r="G952" t="str">
        <f>HYPERLINK("https://www.ncbi.nlm.nih.gov/nucleotide/XM_007785937.1?report=genbank&amp;log$=nucltop&amp;blast_rank=66&amp;RID=29W62RY8013","XM_007785937.1")</f>
        <v>XM_007785937.1</v>
      </c>
    </row>
    <row r="953" spans="1:7" x14ac:dyDescent="0.35">
      <c r="A953" s="4" t="s">
        <v>1381</v>
      </c>
      <c r="B953" s="4">
        <v>263</v>
      </c>
      <c r="C953" s="4">
        <v>263</v>
      </c>
      <c r="D953" s="5">
        <v>0.84</v>
      </c>
      <c r="E953" s="6">
        <v>4E-79</v>
      </c>
      <c r="F953" s="4">
        <v>38.54</v>
      </c>
      <c r="G953" s="4" t="str">
        <f>HYPERLINK("https://www.ncbi.nlm.nih.gov/nucleotide/XM_035480158.1?report=genbank&amp;log$=nucltop&amp;blast_rank=67&amp;RID=29W62RY8013","XM_035480158.1")</f>
        <v>XM_035480158.1</v>
      </c>
    </row>
    <row r="954" spans="1:7" x14ac:dyDescent="0.35">
      <c r="A954" s="4" t="s">
        <v>1042</v>
      </c>
      <c r="B954" s="4">
        <v>274</v>
      </c>
      <c r="C954" s="4">
        <v>274</v>
      </c>
      <c r="D954" s="5">
        <v>0.85</v>
      </c>
      <c r="E954" s="6">
        <v>8.0000000000000003E-83</v>
      </c>
      <c r="F954" s="4">
        <v>38.340000000000003</v>
      </c>
      <c r="G954" s="4" t="str">
        <f>HYPERLINK("https://www.ncbi.nlm.nih.gov/nucleotide/XM_033825526.1?report=genbank&amp;log$=nucltop&amp;blast_rank=68&amp;RID=29W62RY8013","XM_033825526.1")</f>
        <v>XM_033825526.1</v>
      </c>
    </row>
    <row r="955" spans="1:7" x14ac:dyDescent="0.35">
      <c r="A955" s="4" t="s">
        <v>1382</v>
      </c>
      <c r="B955" s="4">
        <v>260</v>
      </c>
      <c r="C955" s="4">
        <v>260</v>
      </c>
      <c r="D955" s="5">
        <v>0.84</v>
      </c>
      <c r="E955" s="6">
        <v>1E-78</v>
      </c>
      <c r="F955" s="4">
        <v>38.28</v>
      </c>
      <c r="G955" s="4" t="str">
        <f>HYPERLINK("https://www.ncbi.nlm.nih.gov/nucleotide/XM_008080567.1?report=genbank&amp;log$=nucltop&amp;blast_rank=69&amp;RID=29W62RY8013","XM_008080567.1")</f>
        <v>XM_008080567.1</v>
      </c>
    </row>
    <row r="956" spans="1:7" x14ac:dyDescent="0.35">
      <c r="A956" s="4" t="s">
        <v>1024</v>
      </c>
      <c r="B956" s="4">
        <v>289</v>
      </c>
      <c r="C956" s="4">
        <v>289</v>
      </c>
      <c r="D956" s="5">
        <v>0.97</v>
      </c>
      <c r="E956" s="6">
        <v>8.9999999999999998E-89</v>
      </c>
      <c r="F956" s="4">
        <v>38.270000000000003</v>
      </c>
      <c r="G956" s="4" t="str">
        <f>HYPERLINK("https://www.ncbi.nlm.nih.gov/nucleotide/XM_025529024.1?report=genbank&amp;log$=nucltop&amp;blast_rank=70&amp;RID=29W62RY8013","XM_025529024.1")</f>
        <v>XM_025529024.1</v>
      </c>
    </row>
    <row r="957" spans="1:7" x14ac:dyDescent="0.35">
      <c r="A957" t="s">
        <v>1383</v>
      </c>
      <c r="B957">
        <v>261</v>
      </c>
      <c r="C957">
        <v>261</v>
      </c>
      <c r="D957" s="2">
        <v>0.85</v>
      </c>
      <c r="E957" s="3">
        <v>1E-78</v>
      </c>
      <c r="F957">
        <v>38.18</v>
      </c>
      <c r="G957" t="str">
        <f>HYPERLINK("https://www.ncbi.nlm.nih.gov/nucleotide/XM_020204011.1?report=genbank&amp;log$=nucltop&amp;blast_rank=71&amp;RID=29W62RY8013","XM_020204011.1")</f>
        <v>XM_020204011.1</v>
      </c>
    </row>
    <row r="958" spans="1:7" x14ac:dyDescent="0.35">
      <c r="A958" t="s">
        <v>148</v>
      </c>
      <c r="B958">
        <v>260</v>
      </c>
      <c r="C958">
        <v>260</v>
      </c>
      <c r="D958" s="2">
        <v>0.86</v>
      </c>
      <c r="E958" s="3">
        <v>2E-78</v>
      </c>
      <c r="F958">
        <v>38.17</v>
      </c>
      <c r="G958" t="str">
        <f>HYPERLINK("https://www.ncbi.nlm.nih.gov/nucleotide/XM_016761695.1?report=genbank&amp;log$=nucltop&amp;blast_rank=72&amp;RID=29W62RY8013","XM_016761695.1")</f>
        <v>XM_016761695.1</v>
      </c>
    </row>
    <row r="959" spans="1:7" x14ac:dyDescent="0.35">
      <c r="A959" s="4" t="s">
        <v>1050</v>
      </c>
      <c r="B959" s="4">
        <v>308</v>
      </c>
      <c r="C959" s="4">
        <v>308</v>
      </c>
      <c r="D959" s="5">
        <v>0.96</v>
      </c>
      <c r="E959" s="6">
        <v>4E-95</v>
      </c>
      <c r="F959" s="4">
        <v>38.159999999999997</v>
      </c>
      <c r="G959" s="4" t="str">
        <f>HYPERLINK("https://www.ncbi.nlm.nih.gov/nucleotide/XM_007269369.1?report=genbank&amp;log$=nucltop&amp;blast_rank=73&amp;RID=29W62RY8013","XM_007269369.1")</f>
        <v>XM_007269369.1</v>
      </c>
    </row>
    <row r="960" spans="1:7" x14ac:dyDescent="0.35">
      <c r="A960" t="s">
        <v>1013</v>
      </c>
      <c r="B960">
        <v>265</v>
      </c>
      <c r="C960">
        <v>265</v>
      </c>
      <c r="D960" s="2">
        <v>0.89</v>
      </c>
      <c r="E960" s="3">
        <v>3.0000000000000001E-80</v>
      </c>
      <c r="F960">
        <v>37.92</v>
      </c>
      <c r="G960" t="str">
        <f>HYPERLINK("https://www.ncbi.nlm.nih.gov/nucleotide/XM_035489053.1?report=genbank&amp;log$=nucltop&amp;blast_rank=74&amp;RID=29W62RY8013","XM_035489053.1")</f>
        <v>XM_035489053.1</v>
      </c>
    </row>
    <row r="961" spans="1:7" x14ac:dyDescent="0.35">
      <c r="A961" s="4" t="s">
        <v>1384</v>
      </c>
      <c r="B961" s="4">
        <v>261</v>
      </c>
      <c r="C961" s="4">
        <v>261</v>
      </c>
      <c r="D961" s="5">
        <v>0.85</v>
      </c>
      <c r="E961" s="6">
        <v>2E-78</v>
      </c>
      <c r="F961" s="4">
        <v>37.92</v>
      </c>
      <c r="G961" s="4" t="str">
        <f>HYPERLINK("https://www.ncbi.nlm.nih.gov/nucleotide/XM_025652928.1?report=genbank&amp;log$=nucltop&amp;blast_rank=75&amp;RID=29W62RY8013","XM_025652928.1")</f>
        <v>XM_025652928.1</v>
      </c>
    </row>
    <row r="962" spans="1:7" x14ac:dyDescent="0.35">
      <c r="A962" t="s">
        <v>156</v>
      </c>
      <c r="B962">
        <v>261</v>
      </c>
      <c r="C962">
        <v>261</v>
      </c>
      <c r="D962" s="2">
        <v>0.86</v>
      </c>
      <c r="E962" s="3">
        <v>1E-78</v>
      </c>
      <c r="F962">
        <v>37.909999999999997</v>
      </c>
      <c r="G962" t="str">
        <f>HYPERLINK("https://www.ncbi.nlm.nih.gov/nucleotide/XM_013433959.1?report=genbank&amp;log$=nucltop&amp;blast_rank=76&amp;RID=29W62RY8013","XM_013433959.1")</f>
        <v>XM_013433959.1</v>
      </c>
    </row>
    <row r="963" spans="1:7" x14ac:dyDescent="0.35">
      <c r="A963" s="4" t="s">
        <v>1029</v>
      </c>
      <c r="B963" s="4">
        <v>301</v>
      </c>
      <c r="C963" s="4">
        <v>301</v>
      </c>
      <c r="D963" s="5">
        <v>0.99</v>
      </c>
      <c r="E963" s="6">
        <v>4.0000000000000001E-91</v>
      </c>
      <c r="F963" s="4">
        <v>37.869999999999997</v>
      </c>
      <c r="G963" s="4" t="str">
        <f>HYPERLINK("https://www.ncbi.nlm.nih.gov/nucleotide/XM_007271146.1?report=genbank&amp;log$=nucltop&amp;blast_rank=77&amp;RID=29W62RY8013","XM_007271146.1")</f>
        <v>XM_007271146.1</v>
      </c>
    </row>
    <row r="964" spans="1:7" x14ac:dyDescent="0.35">
      <c r="A964" t="s">
        <v>1040</v>
      </c>
      <c r="B964">
        <v>266</v>
      </c>
      <c r="C964">
        <v>266</v>
      </c>
      <c r="D964" s="2">
        <v>0.92</v>
      </c>
      <c r="E964" s="3">
        <v>9.9999999999999996E-81</v>
      </c>
      <c r="F964">
        <v>37.26</v>
      </c>
      <c r="G964" t="str">
        <f>HYPERLINK("https://www.ncbi.nlm.nih.gov/nucleotide/XM_016783342.1?report=genbank&amp;log$=nucltop&amp;blast_rank=78&amp;RID=29W62RY8013","XM_016783342.1")</f>
        <v>XM_016783342.1</v>
      </c>
    </row>
    <row r="965" spans="1:7" x14ac:dyDescent="0.35">
      <c r="A965" s="4" t="s">
        <v>1026</v>
      </c>
      <c r="B965" s="4">
        <v>266</v>
      </c>
      <c r="C965" s="4">
        <v>266</v>
      </c>
      <c r="D965" s="5">
        <v>0.92</v>
      </c>
      <c r="E965" s="6">
        <v>1E-79</v>
      </c>
      <c r="F965" s="4">
        <v>37.119999999999997</v>
      </c>
      <c r="G965" s="4" t="str">
        <f>HYPERLINK("https://www.ncbi.nlm.nih.gov/nucleotide/XM_033718478.1?report=genbank&amp;log$=nucltop&amp;blast_rank=79&amp;RID=29W62RY8013","XM_033718478.1")</f>
        <v>XM_033718478.1</v>
      </c>
    </row>
    <row r="966" spans="1:7" x14ac:dyDescent="0.35">
      <c r="A966" s="4" t="s">
        <v>1047</v>
      </c>
      <c r="B966" s="4">
        <v>272</v>
      </c>
      <c r="C966" s="4">
        <v>272</v>
      </c>
      <c r="D966" s="5">
        <v>0.92</v>
      </c>
      <c r="E966" s="6">
        <v>3.9999999999999998E-82</v>
      </c>
      <c r="F966" s="4">
        <v>37</v>
      </c>
      <c r="G966" s="4" t="str">
        <f>HYPERLINK("https://www.ncbi.nlm.nih.gov/nucleotide/XM_036646809.1?report=genbank&amp;log$=nucltop&amp;blast_rank=80&amp;RID=29W62RY8013","XM_036646809.1")</f>
        <v>XM_036646809.1</v>
      </c>
    </row>
    <row r="967" spans="1:7" x14ac:dyDescent="0.35">
      <c r="A967" t="s">
        <v>1048</v>
      </c>
      <c r="B967">
        <v>272</v>
      </c>
      <c r="C967">
        <v>272</v>
      </c>
      <c r="D967" s="2">
        <v>0.92</v>
      </c>
      <c r="E967" s="3">
        <v>4.9999999999999998E-82</v>
      </c>
      <c r="F967">
        <v>37</v>
      </c>
      <c r="G967" t="str">
        <f>HYPERLINK("https://www.ncbi.nlm.nih.gov/nucleotide/XM_032024107.1?report=genbank&amp;log$=nucltop&amp;blast_rank=81&amp;RID=29W62RY8013","XM_032024107.1")</f>
        <v>XM_032024107.1</v>
      </c>
    </row>
    <row r="968" spans="1:7" x14ac:dyDescent="0.35">
      <c r="A968" s="4" t="s">
        <v>1385</v>
      </c>
      <c r="B968" s="4">
        <v>263</v>
      </c>
      <c r="C968" s="4">
        <v>263</v>
      </c>
      <c r="D968" s="5">
        <v>0.9</v>
      </c>
      <c r="E968" s="6">
        <v>6E-79</v>
      </c>
      <c r="F968" s="4">
        <v>36.83</v>
      </c>
      <c r="G968" s="4" t="str">
        <f>HYPERLINK("https://www.ncbi.nlm.nih.gov/nucleotide/XM_025632642.1?report=genbank&amp;log$=nucltop&amp;blast_rank=82&amp;RID=29W62RY8013","XM_025632642.1")</f>
        <v>XM_025632642.1</v>
      </c>
    </row>
    <row r="969" spans="1:7" x14ac:dyDescent="0.35">
      <c r="A969" s="4" t="s">
        <v>1386</v>
      </c>
      <c r="B969" s="4">
        <v>262</v>
      </c>
      <c r="C969" s="4">
        <v>262</v>
      </c>
      <c r="D969" s="5">
        <v>0.92</v>
      </c>
      <c r="E969" s="6">
        <v>7.0000000000000006E-79</v>
      </c>
      <c r="F969" s="4">
        <v>36.770000000000003</v>
      </c>
      <c r="G969" s="4" t="str">
        <f>HYPERLINK("https://www.ncbi.nlm.nih.gov/nucleotide/XM_007760133.1?report=genbank&amp;log$=nucltop&amp;blast_rank=83&amp;RID=29W62RY8013","XM_007760133.1")</f>
        <v>XM_007760133.1</v>
      </c>
    </row>
    <row r="970" spans="1:7" x14ac:dyDescent="0.35">
      <c r="A970" s="4" t="s">
        <v>1044</v>
      </c>
      <c r="B970" s="4">
        <v>273</v>
      </c>
      <c r="C970" s="4">
        <v>273</v>
      </c>
      <c r="D970" s="5">
        <v>0.92</v>
      </c>
      <c r="E970" s="6">
        <v>9.9999999999999996E-83</v>
      </c>
      <c r="F970" s="4">
        <v>36.53</v>
      </c>
      <c r="G970" s="4" t="str">
        <f>HYPERLINK("https://www.ncbi.nlm.nih.gov/nucleotide/XM_037329150.1?report=genbank&amp;log$=nucltop&amp;blast_rank=84&amp;RID=29W62RY8013","XM_037329150.1")</f>
        <v>XM_037329150.1</v>
      </c>
    </row>
    <row r="971" spans="1:7" x14ac:dyDescent="0.35">
      <c r="A971" t="s">
        <v>1046</v>
      </c>
      <c r="B971">
        <v>275</v>
      </c>
      <c r="C971">
        <v>275</v>
      </c>
      <c r="D971" s="2">
        <v>0.98</v>
      </c>
      <c r="E971" s="3">
        <v>5.0000000000000002E-84</v>
      </c>
      <c r="F971">
        <v>36.479999999999997</v>
      </c>
      <c r="G971" t="str">
        <f>HYPERLINK("https://www.ncbi.nlm.nih.gov/nucleotide/XM_014097055.1?report=genbank&amp;log$=nucltop&amp;blast_rank=85&amp;RID=29W62RY8013","XM_014097055.1")</f>
        <v>XM_014097055.1</v>
      </c>
    </row>
    <row r="972" spans="1:7" x14ac:dyDescent="0.35">
      <c r="A972" s="4" t="s">
        <v>1051</v>
      </c>
      <c r="B972" s="4">
        <v>270</v>
      </c>
      <c r="C972" s="4">
        <v>270</v>
      </c>
      <c r="D972" s="5">
        <v>0.92</v>
      </c>
      <c r="E972" s="6">
        <v>3.0000000000000001E-80</v>
      </c>
      <c r="F972" s="4">
        <v>36.26</v>
      </c>
      <c r="G972" s="4" t="str">
        <f>HYPERLINK("https://www.ncbi.nlm.nih.gov/nucleotide/XM_018213751.1?report=genbank&amp;log$=nucltop&amp;blast_rank=86&amp;RID=29W62RY8013","XM_018213751.1")</f>
        <v>XM_018213751.1</v>
      </c>
    </row>
    <row r="973" spans="1:7" x14ac:dyDescent="0.35">
      <c r="A973" s="4" t="s">
        <v>1057</v>
      </c>
      <c r="B973" s="4">
        <v>263</v>
      </c>
      <c r="C973" s="4">
        <v>263</v>
      </c>
      <c r="D973" s="5">
        <v>0.91</v>
      </c>
      <c r="E973" s="6">
        <v>5E-79</v>
      </c>
      <c r="F973" s="4">
        <v>36.26</v>
      </c>
      <c r="G973" s="4" t="str">
        <f>HYPERLINK("https://www.ncbi.nlm.nih.gov/nucleotide/XM_014316328.1?report=genbank&amp;log$=nucltop&amp;blast_rank=87&amp;RID=29W62RY8013","XM_014316328.1")</f>
        <v>XM_014316328.1</v>
      </c>
    </row>
    <row r="974" spans="1:7" x14ac:dyDescent="0.35">
      <c r="A974" s="4" t="s">
        <v>1039</v>
      </c>
      <c r="B974" s="4">
        <v>271</v>
      </c>
      <c r="C974" s="4">
        <v>271</v>
      </c>
      <c r="D974" s="5">
        <v>0.98</v>
      </c>
      <c r="E974" s="6">
        <v>1.9999999999999999E-82</v>
      </c>
      <c r="F974" s="4">
        <v>36.18</v>
      </c>
      <c r="G974" s="4" t="str">
        <f>HYPERLINK("https://www.ncbi.nlm.nih.gov/nucleotide/XM_016743102.1?report=genbank&amp;log$=nucltop&amp;blast_rank=88&amp;RID=29W62RY8013","XM_016743102.1")</f>
        <v>XM_016743102.1</v>
      </c>
    </row>
    <row r="975" spans="1:7" x14ac:dyDescent="0.35">
      <c r="A975" s="4" t="s">
        <v>1052</v>
      </c>
      <c r="B975" s="4">
        <v>262</v>
      </c>
      <c r="C975" s="4">
        <v>262</v>
      </c>
      <c r="D975" s="5">
        <v>0.91</v>
      </c>
      <c r="E975" s="6">
        <v>2E-78</v>
      </c>
      <c r="F975" s="4">
        <v>35.869999999999997</v>
      </c>
      <c r="G975" s="4" t="str">
        <f>HYPERLINK("https://www.ncbi.nlm.nih.gov/nucleotide/XM_035473218.1?report=genbank&amp;log$=nucltop&amp;blast_rank=89&amp;RID=29W62RY8013","XM_035473218.1")</f>
        <v>XM_035473218.1</v>
      </c>
    </row>
    <row r="976" spans="1:7" x14ac:dyDescent="0.35">
      <c r="A976" t="s">
        <v>1033</v>
      </c>
      <c r="B976">
        <v>264</v>
      </c>
      <c r="C976">
        <v>264</v>
      </c>
      <c r="D976" s="2">
        <v>0.92</v>
      </c>
      <c r="E976" s="3">
        <v>9.0000000000000006E-79</v>
      </c>
      <c r="F976">
        <v>35.520000000000003</v>
      </c>
      <c r="G976" t="str">
        <f>HYPERLINK("https://www.ncbi.nlm.nih.gov/nucleotide/XM_003032284.1?report=genbank&amp;log$=nucltop&amp;blast_rank=90&amp;RID=29W62RY8013","XM_003032284.1")</f>
        <v>XM_003032284.1</v>
      </c>
    </row>
    <row r="977" spans="1:7" x14ac:dyDescent="0.35">
      <c r="A977" t="s">
        <v>254</v>
      </c>
      <c r="B977">
        <v>273</v>
      </c>
      <c r="C977">
        <v>273</v>
      </c>
      <c r="D977" s="2">
        <v>0.98</v>
      </c>
      <c r="E977" s="3">
        <v>8.0000000000000003E-83</v>
      </c>
      <c r="F977">
        <v>35.450000000000003</v>
      </c>
      <c r="G977" t="str">
        <f>HYPERLINK("https://www.ncbi.nlm.nih.gov/nucleotide/XM_018272177.1?report=genbank&amp;log$=nucltop&amp;blast_rank=91&amp;RID=29W62RY8013","XM_018272177.1")</f>
        <v>XM_018272177.1</v>
      </c>
    </row>
    <row r="978" spans="1:7" x14ac:dyDescent="0.35">
      <c r="A978" t="s">
        <v>1049</v>
      </c>
      <c r="B978">
        <v>278</v>
      </c>
      <c r="C978">
        <v>278</v>
      </c>
      <c r="D978" s="2">
        <v>0.98</v>
      </c>
      <c r="E978" s="3">
        <v>1E-84</v>
      </c>
      <c r="F978">
        <v>35.409999999999997</v>
      </c>
      <c r="G978" t="str">
        <f>HYPERLINK("https://www.ncbi.nlm.nih.gov/nucleotide/XM_024921438.1?report=genbank&amp;log$=nucltop&amp;blast_rank=92&amp;RID=29W62RY8013","XM_024921438.1")</f>
        <v>XM_024921438.1</v>
      </c>
    </row>
    <row r="979" spans="1:7" x14ac:dyDescent="0.35">
      <c r="A979" t="s">
        <v>1056</v>
      </c>
      <c r="B979">
        <v>268</v>
      </c>
      <c r="C979">
        <v>268</v>
      </c>
      <c r="D979" s="2">
        <v>0.98</v>
      </c>
      <c r="E979" s="3">
        <v>5.9999999999999998E-81</v>
      </c>
      <c r="F979">
        <v>35.380000000000003</v>
      </c>
      <c r="G979" t="str">
        <f>HYPERLINK("https://www.ncbi.nlm.nih.gov/nucleotide/XM_001215889.1?report=genbank&amp;log$=nucltop&amp;blast_rank=93&amp;RID=29W62RY8013","XM_001215889.1")</f>
        <v>XM_001215889.1</v>
      </c>
    </row>
    <row r="980" spans="1:7" x14ac:dyDescent="0.35">
      <c r="A980" s="4" t="s">
        <v>1060</v>
      </c>
      <c r="B980" s="4">
        <v>263</v>
      </c>
      <c r="C980" s="4">
        <v>263</v>
      </c>
      <c r="D980" s="5">
        <v>0.94</v>
      </c>
      <c r="E980" s="6">
        <v>1E-78</v>
      </c>
      <c r="F980" s="4">
        <v>35.33</v>
      </c>
      <c r="G980" s="4" t="str">
        <f>HYPERLINK("https://www.ncbi.nlm.nih.gov/nucleotide/XM_022616666.1?report=genbank&amp;log$=nucltop&amp;blast_rank=94&amp;RID=29W62RY8013","XM_022616666.1")</f>
        <v>XM_022616666.1</v>
      </c>
    </row>
    <row r="981" spans="1:7" x14ac:dyDescent="0.35">
      <c r="A981" t="s">
        <v>628</v>
      </c>
      <c r="B981">
        <v>272</v>
      </c>
      <c r="C981">
        <v>272</v>
      </c>
      <c r="D981" s="2">
        <v>0.91</v>
      </c>
      <c r="E981" s="3">
        <v>1.9999999999999999E-82</v>
      </c>
      <c r="F981">
        <v>35.06</v>
      </c>
      <c r="G981" t="str">
        <f>HYPERLINK("https://www.ncbi.nlm.nih.gov/nucleotide/XM_013473365.1?report=genbank&amp;log$=nucltop&amp;blast_rank=95&amp;RID=29W62RY8013","XM_013473365.1")</f>
        <v>XM_013473365.1</v>
      </c>
    </row>
    <row r="982" spans="1:7" x14ac:dyDescent="0.35">
      <c r="A982" s="4" t="s">
        <v>1062</v>
      </c>
      <c r="B982" s="4">
        <v>261</v>
      </c>
      <c r="C982" s="4">
        <v>261</v>
      </c>
      <c r="D982" s="5">
        <v>0.94</v>
      </c>
      <c r="E982" s="6">
        <v>2E-78</v>
      </c>
      <c r="F982" s="4">
        <v>34.799999999999997</v>
      </c>
      <c r="G982" s="4" t="str">
        <f>HYPERLINK("https://www.ncbi.nlm.nih.gov/nucleotide/XM_031183081.1?report=genbank&amp;log$=nucltop&amp;blast_rank=96&amp;RID=29W62RY8013","XM_031183081.1")</f>
        <v>XM_031183081.1</v>
      </c>
    </row>
    <row r="983" spans="1:7" x14ac:dyDescent="0.35">
      <c r="A983" t="s">
        <v>81</v>
      </c>
      <c r="B983">
        <v>261</v>
      </c>
      <c r="C983">
        <v>261</v>
      </c>
      <c r="D983" s="2">
        <v>0.91</v>
      </c>
      <c r="E983" s="3">
        <v>2E-78</v>
      </c>
      <c r="F983">
        <v>34.6</v>
      </c>
      <c r="G983" t="str">
        <f>HYPERLINK("https://www.ncbi.nlm.nih.gov/nucleotide/XM_011324919.1?report=genbank&amp;log$=nucltop&amp;blast_rank=97&amp;RID=29W62RY8013","XM_011324919.1")</f>
        <v>XM_011324919.1</v>
      </c>
    </row>
    <row r="984" spans="1:7" x14ac:dyDescent="0.35">
      <c r="A984" t="s">
        <v>1065</v>
      </c>
      <c r="B984">
        <v>262</v>
      </c>
      <c r="C984">
        <v>262</v>
      </c>
      <c r="D984" s="2">
        <v>0.94</v>
      </c>
      <c r="E984" s="3">
        <v>1E-78</v>
      </c>
      <c r="F984">
        <v>34.57</v>
      </c>
      <c r="G984" t="str">
        <f>HYPERLINK("https://www.ncbi.nlm.nih.gov/nucleotide/XM_018382763.1?report=genbank&amp;log$=nucltop&amp;blast_rank=98&amp;RID=29W62RY8013","XM_018382763.1")</f>
        <v>XM_018382763.1</v>
      </c>
    </row>
    <row r="985" spans="1:7" x14ac:dyDescent="0.35">
      <c r="A985" t="s">
        <v>1053</v>
      </c>
      <c r="B985">
        <v>265</v>
      </c>
      <c r="C985">
        <v>265</v>
      </c>
      <c r="D985" s="2">
        <v>0.98</v>
      </c>
      <c r="E985" s="3">
        <v>3.9999999999999998E-80</v>
      </c>
      <c r="F985">
        <v>34.35</v>
      </c>
      <c r="G985" t="str">
        <f>HYPERLINK("https://www.ncbi.nlm.nih.gov/nucleotide/XM_002565631.1?report=genbank&amp;log$=nucltop&amp;blast_rank=99&amp;RID=29W62RY8013","XM_002565631.1")</f>
        <v>XM_002565631.1</v>
      </c>
    </row>
    <row r="986" spans="1:7" x14ac:dyDescent="0.35">
      <c r="A986" t="s">
        <v>1054</v>
      </c>
      <c r="B986">
        <v>263</v>
      </c>
      <c r="C986">
        <v>263</v>
      </c>
      <c r="D986" s="2">
        <v>0.98</v>
      </c>
      <c r="E986" s="3">
        <v>4E-79</v>
      </c>
      <c r="F986">
        <v>33.619999999999997</v>
      </c>
      <c r="G986" t="str">
        <f>HYPERLINK("https://www.ncbi.nlm.nih.gov/nucleotide/XM_003040432.1?report=genbank&amp;log$=nucltop&amp;blast_rank=100&amp;RID=29W62RY8013","XM_003040432.1")</f>
        <v>XM_003040432.1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0E752-1DD7-4129-B054-977F47E0000D}">
  <dimension ref="A1:G700"/>
  <sheetViews>
    <sheetView workbookViewId="0">
      <selection activeCell="A5" sqref="A5"/>
    </sheetView>
  </sheetViews>
  <sheetFormatPr defaultRowHeight="14.5" x14ac:dyDescent="0.35"/>
  <cols>
    <col min="1" max="1" width="93.6328125" bestFit="1" customWidth="1"/>
    <col min="2" max="2" width="9.54296875" bestFit="1" customWidth="1"/>
    <col min="3" max="3" width="10.08984375" bestFit="1" customWidth="1"/>
    <col min="4" max="4" width="11.1796875" bestFit="1" customWidth="1"/>
    <col min="5" max="5" width="8.08984375" bestFit="1" customWidth="1"/>
    <col min="6" max="6" width="9" bestFit="1" customWidth="1"/>
    <col min="7" max="7" width="15.1796875" bestFit="1" customWidth="1"/>
  </cols>
  <sheetData>
    <row r="1" spans="1:7" x14ac:dyDescent="0.35">
      <c r="A1" s="1" t="s">
        <v>1397</v>
      </c>
    </row>
    <row r="2" spans="1:7" x14ac:dyDescent="0.35">
      <c r="A2" s="1" t="s">
        <v>1453</v>
      </c>
    </row>
    <row r="3" spans="1:7" x14ac:dyDescent="0.3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 x14ac:dyDescent="0.35">
      <c r="A4" t="s">
        <v>9</v>
      </c>
      <c r="B4">
        <v>146</v>
      </c>
      <c r="C4">
        <v>306</v>
      </c>
      <c r="D4" s="2">
        <v>0.98</v>
      </c>
      <c r="E4" s="3">
        <v>6.0000000000000006E-67</v>
      </c>
      <c r="F4">
        <v>57.75</v>
      </c>
      <c r="G4" t="str">
        <f>HYPERLINK("https://www.ncbi.nlm.nih.gov/nucleotide/LR732079.1?report=genbank&amp;log$=nucltop&amp;blast_rank=1&amp;RID=1U83AZ8U013","LR732079.1")</f>
        <v>LR732079.1</v>
      </c>
    </row>
    <row r="5" spans="1:7" x14ac:dyDescent="0.35">
      <c r="A5" t="s">
        <v>21</v>
      </c>
      <c r="B5">
        <v>192</v>
      </c>
      <c r="C5">
        <v>192</v>
      </c>
      <c r="D5" s="2">
        <v>0.7</v>
      </c>
      <c r="E5" s="3">
        <v>3E-57</v>
      </c>
      <c r="F5">
        <v>50.53</v>
      </c>
      <c r="G5" t="str">
        <f>HYPERLINK("https://www.ncbi.nlm.nih.gov/nucleotide/XM_009546989.1?report=genbank&amp;log$=nucltop&amp;blast_rank=2&amp;RID=1U83AZ8U013","XM_009546989.1")</f>
        <v>XM_009546989.1</v>
      </c>
    </row>
    <row r="6" spans="1:7" x14ac:dyDescent="0.35">
      <c r="A6" t="s">
        <v>473</v>
      </c>
      <c r="B6">
        <v>142</v>
      </c>
      <c r="C6">
        <v>142</v>
      </c>
      <c r="D6" s="2">
        <v>0.53</v>
      </c>
      <c r="E6" s="3">
        <v>5.0000000000000003E-34</v>
      </c>
      <c r="F6">
        <v>49.69</v>
      </c>
      <c r="G6" t="str">
        <f>HYPERLINK("https://www.ncbi.nlm.nih.gov/nucleotide/CP068007.1?report=genbank&amp;log$=nucltop&amp;blast_rank=3&amp;RID=1U83AZ8U013","CP068007.1")</f>
        <v>CP068007.1</v>
      </c>
    </row>
    <row r="7" spans="1:7" x14ac:dyDescent="0.35">
      <c r="A7" t="s">
        <v>231</v>
      </c>
      <c r="B7">
        <v>139</v>
      </c>
      <c r="C7">
        <v>139</v>
      </c>
      <c r="D7" s="2">
        <v>0.56999999999999995</v>
      </c>
      <c r="E7" s="3">
        <v>6.0000000000000003E-36</v>
      </c>
      <c r="F7">
        <v>49.04</v>
      </c>
      <c r="G7" t="str">
        <f>HYPERLINK("https://www.ncbi.nlm.nih.gov/nucleotide/XM_011122679.1?report=genbank&amp;log$=nucltop&amp;blast_rank=4&amp;RID=1U83AZ8U013","XM_011122679.1")</f>
        <v>XM_011122679.1</v>
      </c>
    </row>
    <row r="8" spans="1:7" x14ac:dyDescent="0.35">
      <c r="A8" t="s">
        <v>202</v>
      </c>
      <c r="B8">
        <v>223</v>
      </c>
      <c r="C8">
        <v>223</v>
      </c>
      <c r="D8" s="2">
        <v>0.95</v>
      </c>
      <c r="E8" s="3">
        <v>1.0000000000000001E-68</v>
      </c>
      <c r="F8">
        <v>47.47</v>
      </c>
      <c r="G8" t="str">
        <f>HYPERLINK("https://www.ncbi.nlm.nih.gov/nucleotide/XM_007389005.1?report=genbank&amp;log$=nucltop&amp;blast_rank=5&amp;RID=1U83AZ8U013","XM_007389005.1")</f>
        <v>XM_007389005.1</v>
      </c>
    </row>
    <row r="9" spans="1:7" x14ac:dyDescent="0.35">
      <c r="A9" t="s">
        <v>198</v>
      </c>
      <c r="B9">
        <v>228</v>
      </c>
      <c r="C9">
        <v>228</v>
      </c>
      <c r="D9" s="2">
        <v>0.95</v>
      </c>
      <c r="E9" s="3">
        <v>1.0000000000000001E-68</v>
      </c>
      <c r="F9">
        <v>47.08</v>
      </c>
      <c r="G9" t="str">
        <f>HYPERLINK("https://www.ncbi.nlm.nih.gov/nucleotide/XM_007870715.1?report=genbank&amp;log$=nucltop&amp;blast_rank=6&amp;RID=1U83AZ8U013","XM_007870715.1")</f>
        <v>XM_007870715.1</v>
      </c>
    </row>
    <row r="10" spans="1:7" x14ac:dyDescent="0.35">
      <c r="A10" t="s">
        <v>18</v>
      </c>
      <c r="B10">
        <v>132</v>
      </c>
      <c r="C10">
        <v>132</v>
      </c>
      <c r="D10" s="2">
        <v>0.5</v>
      </c>
      <c r="E10" s="3">
        <v>1.0000000000000001E-30</v>
      </c>
      <c r="F10">
        <v>46.79</v>
      </c>
      <c r="G10" t="str">
        <f>HYPERLINK("https://www.ncbi.nlm.nih.gov/nucleotide/CP015474.1?report=genbank&amp;log$=nucltop&amp;blast_rank=7&amp;RID=1U83AZ8U013","CP015474.1")</f>
        <v>CP015474.1</v>
      </c>
    </row>
    <row r="11" spans="1:7" x14ac:dyDescent="0.35">
      <c r="A11" t="s">
        <v>17</v>
      </c>
      <c r="B11">
        <v>132</v>
      </c>
      <c r="C11">
        <v>132</v>
      </c>
      <c r="D11" s="2">
        <v>0.5</v>
      </c>
      <c r="E11" s="3">
        <v>1.0000000000000001E-30</v>
      </c>
      <c r="F11">
        <v>46.79</v>
      </c>
      <c r="G11" t="str">
        <f>HYPERLINK("https://www.ncbi.nlm.nih.gov/nucleotide/CP015461.1?report=genbank&amp;log$=nucltop&amp;blast_rank=8&amp;RID=1U83AZ8U013","CP015461.1")</f>
        <v>CP015461.1</v>
      </c>
    </row>
    <row r="12" spans="1:7" x14ac:dyDescent="0.35">
      <c r="A12" t="s">
        <v>16</v>
      </c>
      <c r="B12">
        <v>132</v>
      </c>
      <c r="C12">
        <v>132</v>
      </c>
      <c r="D12" s="2">
        <v>0.5</v>
      </c>
      <c r="E12" s="3">
        <v>1.0000000000000001E-30</v>
      </c>
      <c r="F12">
        <v>46.79</v>
      </c>
      <c r="G12" t="str">
        <f>HYPERLINK("https://www.ncbi.nlm.nih.gov/nucleotide/CP039877.1?report=genbank&amp;log$=nucltop&amp;blast_rank=9&amp;RID=1U83AZ8U013","CP039877.1")</f>
        <v>CP039877.1</v>
      </c>
    </row>
    <row r="13" spans="1:7" x14ac:dyDescent="0.35">
      <c r="A13" t="s">
        <v>204</v>
      </c>
      <c r="B13">
        <v>219</v>
      </c>
      <c r="C13">
        <v>219</v>
      </c>
      <c r="D13" s="2">
        <v>0.94</v>
      </c>
      <c r="E13" s="3">
        <v>3E-65</v>
      </c>
      <c r="F13">
        <v>46.27</v>
      </c>
      <c r="G13" t="str">
        <f>HYPERLINK("https://www.ncbi.nlm.nih.gov/nucleotide/XM_008041438.1?report=genbank&amp;log$=nucltop&amp;blast_rank=10&amp;RID=1U83AZ8U013","XM_008041438.1")</f>
        <v>XM_008041438.1</v>
      </c>
    </row>
    <row r="14" spans="1:7" x14ac:dyDescent="0.35">
      <c r="A14" t="s">
        <v>201</v>
      </c>
      <c r="B14">
        <v>218</v>
      </c>
      <c r="C14">
        <v>218</v>
      </c>
      <c r="D14" s="2">
        <v>0.92</v>
      </c>
      <c r="E14" s="3">
        <v>5.0000000000000003E-64</v>
      </c>
      <c r="F14">
        <v>46</v>
      </c>
      <c r="G14" t="str">
        <f>HYPERLINK("https://www.ncbi.nlm.nih.gov/nucleotide/XM_027763129.1?report=genbank&amp;log$=nucltop&amp;blast_rank=11&amp;RID=1U83AZ8U013","XM_027763129.1")</f>
        <v>XM_027763129.1</v>
      </c>
    </row>
    <row r="15" spans="1:7" x14ac:dyDescent="0.35">
      <c r="A15" t="s">
        <v>205</v>
      </c>
      <c r="B15">
        <v>216</v>
      </c>
      <c r="C15">
        <v>216</v>
      </c>
      <c r="D15" s="2">
        <v>0.91</v>
      </c>
      <c r="E15" s="3">
        <v>3.0000000000000001E-64</v>
      </c>
      <c r="F15">
        <v>45.12</v>
      </c>
      <c r="G15" t="str">
        <f>HYPERLINK("https://www.ncbi.nlm.nih.gov/nucleotide/XM_007318641.1?report=genbank&amp;log$=nucltop&amp;blast_rank=12&amp;RID=1U83AZ8U013","XM_007318641.1")</f>
        <v>XM_007318641.1</v>
      </c>
    </row>
    <row r="16" spans="1:7" x14ac:dyDescent="0.35">
      <c r="A16" t="s">
        <v>120</v>
      </c>
      <c r="B16">
        <v>214</v>
      </c>
      <c r="C16">
        <v>214</v>
      </c>
      <c r="D16" s="2">
        <v>0.92</v>
      </c>
      <c r="E16" s="3">
        <v>3.9999999999999997E-65</v>
      </c>
      <c r="F16">
        <v>44.98</v>
      </c>
      <c r="G16" t="str">
        <f>HYPERLINK("https://www.ncbi.nlm.nih.gov/nucleotide/XM_012328136.1?report=genbank&amp;log$=nucltop&amp;blast_rank=13&amp;RID=1U83AZ8U013","XM_012328136.1")</f>
        <v>XM_012328136.1</v>
      </c>
    </row>
    <row r="17" spans="1:7" x14ac:dyDescent="0.35">
      <c r="A17" t="s">
        <v>199</v>
      </c>
      <c r="B17">
        <v>215</v>
      </c>
      <c r="C17">
        <v>215</v>
      </c>
      <c r="D17" s="2">
        <v>0.94</v>
      </c>
      <c r="E17" s="3">
        <v>5.0000000000000003E-64</v>
      </c>
      <c r="F17">
        <v>44.66</v>
      </c>
      <c r="G17" t="str">
        <f>HYPERLINK("https://www.ncbi.nlm.nih.gov/nucleotide/XM_007393489.1?report=genbank&amp;log$=nucltop&amp;blast_rank=14&amp;RID=1U83AZ8U013","XM_007393489.1")</f>
        <v>XM_007393489.1</v>
      </c>
    </row>
    <row r="18" spans="1:7" x14ac:dyDescent="0.35">
      <c r="A18" t="s">
        <v>233</v>
      </c>
      <c r="B18">
        <v>118</v>
      </c>
      <c r="C18">
        <v>118</v>
      </c>
      <c r="D18" s="2">
        <v>0.56999999999999995</v>
      </c>
      <c r="E18" s="3">
        <v>7.9999999999999998E-28</v>
      </c>
      <c r="F18">
        <v>44.65</v>
      </c>
      <c r="G18" t="str">
        <f>HYPERLINK("https://www.ncbi.nlm.nih.gov/nucleotide/XM_002842253.1?report=genbank&amp;log$=nucltop&amp;blast_rank=15&amp;RID=1U83AZ8U013","XM_002842253.1")</f>
        <v>XM_002842253.1</v>
      </c>
    </row>
    <row r="19" spans="1:7" x14ac:dyDescent="0.35">
      <c r="A19" t="s">
        <v>208</v>
      </c>
      <c r="B19">
        <v>201</v>
      </c>
      <c r="C19">
        <v>201</v>
      </c>
      <c r="D19" s="2">
        <v>0.93</v>
      </c>
      <c r="E19" s="3">
        <v>3.9999999999999999E-60</v>
      </c>
      <c r="F19">
        <v>44.31</v>
      </c>
      <c r="G19" t="str">
        <f>HYPERLINK("https://www.ncbi.nlm.nih.gov/nucleotide/XM_037359090.1?report=genbank&amp;log$=nucltop&amp;blast_rank=16&amp;RID=1U83AZ8U013","XM_037359090.1")</f>
        <v>XM_037359090.1</v>
      </c>
    </row>
    <row r="20" spans="1:7" x14ac:dyDescent="0.35">
      <c r="A20" t="s">
        <v>200</v>
      </c>
      <c r="B20">
        <v>209</v>
      </c>
      <c r="C20">
        <v>209</v>
      </c>
      <c r="D20" s="2">
        <v>0.9</v>
      </c>
      <c r="E20" s="3">
        <v>3.9999999999999999E-60</v>
      </c>
      <c r="F20">
        <v>44.03</v>
      </c>
      <c r="G20" t="str">
        <f>HYPERLINK("https://www.ncbi.nlm.nih.gov/nucleotide/XM_003029540.1?report=genbank&amp;log$=nucltop&amp;blast_rank=17&amp;RID=1U83AZ8U013","XM_003029540.1")</f>
        <v>XM_003029540.1</v>
      </c>
    </row>
    <row r="21" spans="1:7" x14ac:dyDescent="0.35">
      <c r="A21" t="s">
        <v>209</v>
      </c>
      <c r="B21">
        <v>103</v>
      </c>
      <c r="C21">
        <v>103</v>
      </c>
      <c r="D21" s="2">
        <v>0.53</v>
      </c>
      <c r="E21" s="3">
        <v>9.9999999999999995E-21</v>
      </c>
      <c r="F21">
        <v>43.24</v>
      </c>
      <c r="G21" t="str">
        <f>HYPERLINK("https://www.ncbi.nlm.nih.gov/nucleotide/CP003003.1?report=genbank&amp;log$=nucltop&amp;blast_rank=18&amp;RID=1U83AZ8U013","CP003003.1")</f>
        <v>CP003003.1</v>
      </c>
    </row>
    <row r="22" spans="1:7" x14ac:dyDescent="0.35">
      <c r="A22" t="s">
        <v>1398</v>
      </c>
      <c r="B22">
        <v>99.8</v>
      </c>
      <c r="C22">
        <v>99.8</v>
      </c>
      <c r="D22" s="2">
        <v>0.53</v>
      </c>
      <c r="E22" s="3">
        <v>2E-19</v>
      </c>
      <c r="F22">
        <v>43.15</v>
      </c>
      <c r="G22" t="str">
        <f>HYPERLINK("https://www.ncbi.nlm.nih.gov/nucleotide/CP003009.1?report=genbank&amp;log$=nucltop&amp;blast_rank=19&amp;RID=1U83AZ8U013","CP003009.1")</f>
        <v>CP003009.1</v>
      </c>
    </row>
    <row r="23" spans="1:7" x14ac:dyDescent="0.35">
      <c r="A23" t="s">
        <v>206</v>
      </c>
      <c r="B23">
        <v>206</v>
      </c>
      <c r="C23">
        <v>206</v>
      </c>
      <c r="D23" s="2">
        <v>0.92</v>
      </c>
      <c r="E23" s="3">
        <v>1.9999999999999999E-60</v>
      </c>
      <c r="F23">
        <v>42.97</v>
      </c>
      <c r="G23" t="str">
        <f>HYPERLINK("https://www.ncbi.nlm.nih.gov/nucleotide/XM_024477854.1?report=genbank&amp;log$=nucltop&amp;blast_rank=20&amp;RID=1U83AZ8U013","XM_024477854.1")</f>
        <v>XM_024477854.1</v>
      </c>
    </row>
    <row r="24" spans="1:7" x14ac:dyDescent="0.35">
      <c r="A24" t="s">
        <v>203</v>
      </c>
      <c r="B24">
        <v>196</v>
      </c>
      <c r="C24">
        <v>196</v>
      </c>
      <c r="D24" s="2">
        <v>0.95</v>
      </c>
      <c r="E24" s="3">
        <v>9.9999999999999995E-58</v>
      </c>
      <c r="F24">
        <v>42.97</v>
      </c>
      <c r="G24" t="str">
        <f>HYPERLINK("https://www.ncbi.nlm.nih.gov/nucleotide/XM_007263367.1?report=genbank&amp;log$=nucltop&amp;blast_rank=21&amp;RID=1U83AZ8U013","XM_007263367.1")</f>
        <v>XM_007263367.1</v>
      </c>
    </row>
    <row r="25" spans="1:7" x14ac:dyDescent="0.35">
      <c r="A25" t="s">
        <v>1399</v>
      </c>
      <c r="B25">
        <v>99.8</v>
      </c>
      <c r="C25">
        <v>99.8</v>
      </c>
      <c r="D25" s="2">
        <v>0.53</v>
      </c>
      <c r="E25" s="3">
        <v>2E-19</v>
      </c>
      <c r="F25">
        <v>42.76</v>
      </c>
      <c r="G25" t="str">
        <f>HYPERLINK("https://www.ncbi.nlm.nih.gov/nucleotide/LR026990.1?report=genbank&amp;log$=nucltop&amp;blast_rank=22&amp;RID=1U83AZ8U013","LR026990.1")</f>
        <v>LR026990.1</v>
      </c>
    </row>
    <row r="26" spans="1:7" x14ac:dyDescent="0.35">
      <c r="A26" t="s">
        <v>943</v>
      </c>
      <c r="B26">
        <v>97.4</v>
      </c>
      <c r="C26">
        <v>97.4</v>
      </c>
      <c r="D26" s="2">
        <v>0.5</v>
      </c>
      <c r="E26" s="3">
        <v>6.0000000000000006E-20</v>
      </c>
      <c r="F26">
        <v>42.75</v>
      </c>
      <c r="G26" t="str">
        <f>HYPERLINK("https://www.ncbi.nlm.nih.gov/nucleotide/XM_026759999.1?report=genbank&amp;log$=nucltop&amp;blast_rank=23&amp;RID=1U83AZ8U013","XM_026759999.1")</f>
        <v>XM_026759999.1</v>
      </c>
    </row>
    <row r="27" spans="1:7" x14ac:dyDescent="0.35">
      <c r="A27" t="s">
        <v>207</v>
      </c>
      <c r="B27">
        <v>202</v>
      </c>
      <c r="C27">
        <v>202</v>
      </c>
      <c r="D27" s="2">
        <v>0.92</v>
      </c>
      <c r="E27" s="3">
        <v>9.9999999999999997E-61</v>
      </c>
      <c r="F27">
        <v>42.74</v>
      </c>
      <c r="G27" t="str">
        <f>HYPERLINK("https://www.ncbi.nlm.nih.gov/nucleotide/XM_006459159.1?report=genbank&amp;log$=nucltop&amp;blast_rank=24&amp;RID=1U83AZ8U013","XM_006459159.1")</f>
        <v>XM_006459159.1</v>
      </c>
    </row>
    <row r="28" spans="1:7" x14ac:dyDescent="0.35">
      <c r="A28" t="s">
        <v>239</v>
      </c>
      <c r="B28">
        <v>114</v>
      </c>
      <c r="C28">
        <v>114</v>
      </c>
      <c r="D28" s="2">
        <v>0.55000000000000004</v>
      </c>
      <c r="E28" s="3">
        <v>3E-24</v>
      </c>
      <c r="F28">
        <v>42.48</v>
      </c>
      <c r="G28" t="str">
        <f>HYPERLINK("https://www.ncbi.nlm.nih.gov/nucleotide/AL451013.1?report=genbank&amp;log$=nucltop&amp;blast_rank=25&amp;RID=1U83AZ8U013","AL451013.1")</f>
        <v>AL451013.1</v>
      </c>
    </row>
    <row r="29" spans="1:7" x14ac:dyDescent="0.35">
      <c r="A29" t="s">
        <v>234</v>
      </c>
      <c r="B29">
        <v>105</v>
      </c>
      <c r="C29">
        <v>105</v>
      </c>
      <c r="D29" s="2">
        <v>0.56000000000000005</v>
      </c>
      <c r="E29" s="3">
        <v>8.9999999999999997E-22</v>
      </c>
      <c r="F29">
        <v>42.31</v>
      </c>
      <c r="G29" t="str">
        <f>HYPERLINK("https://www.ncbi.nlm.nih.gov/nucleotide/XM_003662060.1?report=genbank&amp;log$=nucltop&amp;blast_rank=26&amp;RID=1U83AZ8U013","XM_003662060.1")</f>
        <v>XM_003662060.1</v>
      </c>
    </row>
    <row r="30" spans="1:7" x14ac:dyDescent="0.35">
      <c r="A30" t="s">
        <v>279</v>
      </c>
      <c r="B30">
        <v>109</v>
      </c>
      <c r="C30">
        <v>109</v>
      </c>
      <c r="D30" s="2">
        <v>0.56000000000000005</v>
      </c>
      <c r="E30" s="3">
        <v>1.9999999999999998E-24</v>
      </c>
      <c r="F30">
        <v>42.21</v>
      </c>
      <c r="G30" t="str">
        <f>HYPERLINK("https://www.ncbi.nlm.nih.gov/nucleotide/XM_028635266.1?report=genbank&amp;log$=nucltop&amp;blast_rank=27&amp;RID=1U83AZ8U013","XM_028635266.1")</f>
        <v>XM_028635266.1</v>
      </c>
    </row>
    <row r="31" spans="1:7" x14ac:dyDescent="0.35">
      <c r="A31" t="s">
        <v>249</v>
      </c>
      <c r="B31">
        <v>109</v>
      </c>
      <c r="C31">
        <v>109</v>
      </c>
      <c r="D31" s="2">
        <v>0.56000000000000005</v>
      </c>
      <c r="E31" s="3">
        <v>3.9999999999999997E-24</v>
      </c>
      <c r="F31">
        <v>42.21</v>
      </c>
      <c r="G31" t="str">
        <f>HYPERLINK("https://www.ncbi.nlm.nih.gov/nucleotide/XM_009650293.1?report=genbank&amp;log$=nucltop&amp;blast_rank=28&amp;RID=1U83AZ8U013","XM_009650293.1")</f>
        <v>XM_009650293.1</v>
      </c>
    </row>
    <row r="32" spans="1:7" x14ac:dyDescent="0.35">
      <c r="A32" t="s">
        <v>250</v>
      </c>
      <c r="B32">
        <v>110</v>
      </c>
      <c r="C32">
        <v>110</v>
      </c>
      <c r="D32" s="2">
        <v>0.56000000000000005</v>
      </c>
      <c r="E32" s="3">
        <v>5.0000000000000002E-23</v>
      </c>
      <c r="F32">
        <v>42.21</v>
      </c>
      <c r="G32" t="str">
        <f>HYPERLINK("https://www.ncbi.nlm.nih.gov/nucleotide/CP010980.1?report=genbank&amp;log$=nucltop&amp;blast_rank=29&amp;RID=1U83AZ8U013","CP010980.1")</f>
        <v>CP010980.1</v>
      </c>
    </row>
    <row r="33" spans="1:7" x14ac:dyDescent="0.35">
      <c r="A33" t="s">
        <v>251</v>
      </c>
      <c r="B33">
        <v>110</v>
      </c>
      <c r="C33">
        <v>110</v>
      </c>
      <c r="D33" s="2">
        <v>0.56000000000000005</v>
      </c>
      <c r="E33" s="3">
        <v>5.0000000000000002E-23</v>
      </c>
      <c r="F33">
        <v>42.21</v>
      </c>
      <c r="G33" t="str">
        <f>HYPERLINK("https://www.ncbi.nlm.nih.gov/nucleotide/CP009075.1?report=genbank&amp;log$=nucltop&amp;blast_rank=30&amp;RID=1U83AZ8U013","CP009075.1")</f>
        <v>CP009075.1</v>
      </c>
    </row>
    <row r="34" spans="1:7" x14ac:dyDescent="0.35">
      <c r="A34" s="4" t="s">
        <v>256</v>
      </c>
      <c r="B34" s="4">
        <v>107</v>
      </c>
      <c r="C34" s="4">
        <v>107</v>
      </c>
      <c r="D34" s="5">
        <v>0.56999999999999995</v>
      </c>
      <c r="E34" s="6">
        <v>4.0000000000000002E-22</v>
      </c>
      <c r="F34" s="4">
        <v>42.14</v>
      </c>
      <c r="G34" s="4" t="str">
        <f>HYPERLINK("https://www.ncbi.nlm.nih.gov/nucleotide/XM_031720476.1?report=genbank&amp;log$=nucltop&amp;blast_rank=31&amp;RID=1U83AZ8U013","XM_031720476.1")</f>
        <v>XM_031720476.1</v>
      </c>
    </row>
    <row r="35" spans="1:7" x14ac:dyDescent="0.35">
      <c r="A35" t="s">
        <v>237</v>
      </c>
      <c r="B35">
        <v>99.8</v>
      </c>
      <c r="C35">
        <v>99.8</v>
      </c>
      <c r="D35" s="2">
        <v>0.5</v>
      </c>
      <c r="E35" s="3">
        <v>2E-19</v>
      </c>
      <c r="F35">
        <v>42.03</v>
      </c>
      <c r="G35" t="str">
        <f>HYPERLINK("https://www.ncbi.nlm.nih.gov/nucleotide/MG777491.1?report=genbank&amp;log$=nucltop&amp;blast_rank=32&amp;RID=1U83AZ8U013","MG777491.1")</f>
        <v>MG777491.1</v>
      </c>
    </row>
    <row r="36" spans="1:7" x14ac:dyDescent="0.35">
      <c r="A36" t="s">
        <v>210</v>
      </c>
      <c r="B36">
        <v>103</v>
      </c>
      <c r="C36">
        <v>103</v>
      </c>
      <c r="D36" s="2">
        <v>0.55000000000000004</v>
      </c>
      <c r="E36" s="3">
        <v>4.0000000000000002E-22</v>
      </c>
      <c r="F36">
        <v>41.83</v>
      </c>
      <c r="G36" t="str">
        <f>HYPERLINK("https://www.ncbi.nlm.nih.gov/nucleotide/XM_031139192.1?report=genbank&amp;log$=nucltop&amp;blast_rank=33&amp;RID=1U83AZ8U013","XM_031139192.1")</f>
        <v>XM_031139192.1</v>
      </c>
    </row>
    <row r="37" spans="1:7" x14ac:dyDescent="0.35">
      <c r="A37" t="s">
        <v>236</v>
      </c>
      <c r="B37">
        <v>100</v>
      </c>
      <c r="C37">
        <v>100</v>
      </c>
      <c r="D37" s="2">
        <v>0.55000000000000004</v>
      </c>
      <c r="E37" s="3">
        <v>3.0000000000000003E-20</v>
      </c>
      <c r="F37">
        <v>41.83</v>
      </c>
      <c r="G37" t="str">
        <f>HYPERLINK("https://www.ncbi.nlm.nih.gov/nucleotide/XM_003649649.1?report=genbank&amp;log$=nucltop&amp;blast_rank=34&amp;RID=1U83AZ8U013","XM_003649649.1")</f>
        <v>XM_003649649.1</v>
      </c>
    </row>
    <row r="38" spans="1:7" x14ac:dyDescent="0.35">
      <c r="A38" t="s">
        <v>261</v>
      </c>
      <c r="B38">
        <v>101</v>
      </c>
      <c r="C38">
        <v>101</v>
      </c>
      <c r="D38" s="2">
        <v>0.56000000000000005</v>
      </c>
      <c r="E38" s="3">
        <v>1.9999999999999998E-21</v>
      </c>
      <c r="F38">
        <v>41.67</v>
      </c>
      <c r="G38" t="str">
        <f>HYPERLINK("https://www.ncbi.nlm.nih.gov/nucleotide/XM_007836483.1?report=genbank&amp;log$=nucltop&amp;blast_rank=35&amp;RID=1U83AZ8U013","XM_007836483.1")</f>
        <v>XM_007836483.1</v>
      </c>
    </row>
    <row r="39" spans="1:7" x14ac:dyDescent="0.35">
      <c r="A39" t="s">
        <v>107</v>
      </c>
      <c r="B39">
        <v>155</v>
      </c>
      <c r="C39">
        <v>224</v>
      </c>
      <c r="D39" s="2">
        <v>0.9</v>
      </c>
      <c r="E39" s="3">
        <v>1E-42</v>
      </c>
      <c r="F39">
        <v>41.63</v>
      </c>
      <c r="G39" t="str">
        <f>HYPERLINK("https://www.ncbi.nlm.nih.gov/nucleotide/CP019380.1?report=genbank&amp;log$=nucltop&amp;blast_rank=36&amp;RID=1U83AZ8U013","CP019380.1")</f>
        <v>CP019380.1</v>
      </c>
    </row>
    <row r="40" spans="1:7" x14ac:dyDescent="0.35">
      <c r="A40" t="s">
        <v>242</v>
      </c>
      <c r="B40">
        <v>112</v>
      </c>
      <c r="C40">
        <v>112</v>
      </c>
      <c r="D40" s="2">
        <v>0.54</v>
      </c>
      <c r="E40" s="3">
        <v>2.9999999999999998E-25</v>
      </c>
      <c r="F40">
        <v>41.61</v>
      </c>
      <c r="G40" t="str">
        <f>HYPERLINK("https://www.ncbi.nlm.nih.gov/nucleotide/XM_007295640.1?report=genbank&amp;log$=nucltop&amp;blast_rank=37&amp;RID=1U83AZ8U013","XM_007295640.1")</f>
        <v>XM_007295640.1</v>
      </c>
    </row>
    <row r="41" spans="1:7" x14ac:dyDescent="0.35">
      <c r="A41" t="s">
        <v>217</v>
      </c>
      <c r="B41">
        <v>201</v>
      </c>
      <c r="C41">
        <v>201</v>
      </c>
      <c r="D41" s="2">
        <v>0.92</v>
      </c>
      <c r="E41" s="3">
        <v>1E-59</v>
      </c>
      <c r="F41">
        <v>41.53</v>
      </c>
      <c r="G41" t="str">
        <f>HYPERLINK("https://www.ncbi.nlm.nih.gov/nucleotide/XM_007362271.1?report=genbank&amp;log$=nucltop&amp;blast_rank=38&amp;RID=1U83AZ8U013","XM_007362271.1")</f>
        <v>XM_007362271.1</v>
      </c>
    </row>
    <row r="42" spans="1:7" x14ac:dyDescent="0.35">
      <c r="A42" t="s">
        <v>215</v>
      </c>
      <c r="B42">
        <v>194</v>
      </c>
      <c r="C42">
        <v>194</v>
      </c>
      <c r="D42" s="2">
        <v>0.98</v>
      </c>
      <c r="E42" s="3">
        <v>9.9999999999999995E-58</v>
      </c>
      <c r="F42">
        <v>41.51</v>
      </c>
      <c r="G42" t="str">
        <f>HYPERLINK("https://www.ncbi.nlm.nih.gov/nucleotide/XM_007299197.1?report=genbank&amp;log$=nucltop&amp;blast_rank=39&amp;RID=1U83AZ8U013","XM_007299197.1")</f>
        <v>XM_007299197.1</v>
      </c>
    </row>
    <row r="43" spans="1:7" x14ac:dyDescent="0.35">
      <c r="A43" t="s">
        <v>264</v>
      </c>
      <c r="B43">
        <v>110</v>
      </c>
      <c r="C43">
        <v>110</v>
      </c>
      <c r="D43" s="2">
        <v>0.55000000000000004</v>
      </c>
      <c r="E43" s="3">
        <v>9.9999999999999992E-25</v>
      </c>
      <c r="F43">
        <v>41.45</v>
      </c>
      <c r="G43" t="str">
        <f>HYPERLINK("https://www.ncbi.nlm.nih.gov/nucleotide/XM_009154513.1?report=genbank&amp;log$=nucltop&amp;blast_rank=40&amp;RID=1U83AZ8U013","XM_009154513.1")</f>
        <v>XM_009154513.1</v>
      </c>
    </row>
    <row r="44" spans="1:7" x14ac:dyDescent="0.35">
      <c r="A44" t="s">
        <v>228</v>
      </c>
      <c r="B44">
        <v>110</v>
      </c>
      <c r="C44">
        <v>110</v>
      </c>
      <c r="D44" s="2">
        <v>0.55000000000000004</v>
      </c>
      <c r="E44" s="3">
        <v>6.0000000000000001E-23</v>
      </c>
      <c r="F44">
        <v>41.45</v>
      </c>
      <c r="G44" t="str">
        <f>HYPERLINK("https://www.ncbi.nlm.nih.gov/nucleotide/LR026965.1?report=genbank&amp;log$=nucltop&amp;blast_rank=41&amp;RID=1U83AZ8U013","LR026965.1")</f>
        <v>LR026965.1</v>
      </c>
    </row>
    <row r="45" spans="1:7" x14ac:dyDescent="0.35">
      <c r="A45" t="s">
        <v>229</v>
      </c>
      <c r="B45">
        <v>109</v>
      </c>
      <c r="C45">
        <v>109</v>
      </c>
      <c r="D45" s="2">
        <v>0.55000000000000004</v>
      </c>
      <c r="E45" s="3">
        <v>6.9999999999999999E-23</v>
      </c>
      <c r="F45">
        <v>41.45</v>
      </c>
      <c r="G45" t="str">
        <f>HYPERLINK("https://www.ncbi.nlm.nih.gov/nucleotide/CU640366.1?report=genbank&amp;log$=nucltop&amp;blast_rank=42&amp;RID=1U83AZ8U013","CU640366.1")</f>
        <v>CU640366.1</v>
      </c>
    </row>
    <row r="46" spans="1:7" x14ac:dyDescent="0.35">
      <c r="A46" t="s">
        <v>230</v>
      </c>
      <c r="B46">
        <v>109</v>
      </c>
      <c r="C46">
        <v>109</v>
      </c>
      <c r="D46" s="2">
        <v>0.55000000000000004</v>
      </c>
      <c r="E46" s="3">
        <v>6.9999999999999999E-23</v>
      </c>
      <c r="F46">
        <v>41.45</v>
      </c>
      <c r="G46" t="str">
        <f>HYPERLINK("https://www.ncbi.nlm.nih.gov/nucleotide/FO904937.1?report=genbank&amp;log$=nucltop&amp;blast_rank=43&amp;RID=1U83AZ8U013","FO904937.1")</f>
        <v>FO904937.1</v>
      </c>
    </row>
    <row r="47" spans="1:7" x14ac:dyDescent="0.35">
      <c r="A47" s="4" t="s">
        <v>267</v>
      </c>
      <c r="B47" s="4">
        <v>100</v>
      </c>
      <c r="C47" s="4">
        <v>100</v>
      </c>
      <c r="D47" s="5">
        <v>0.55000000000000004</v>
      </c>
      <c r="E47" s="6">
        <v>4.9999999999999997E-21</v>
      </c>
      <c r="F47" s="4">
        <v>41.33</v>
      </c>
      <c r="G47" s="4" t="str">
        <f>HYPERLINK("https://www.ncbi.nlm.nih.gov/nucleotide/XM_745463.1?report=genbank&amp;log$=nucltop&amp;blast_rank=44&amp;RID=1U83AZ8U013","XM_745463.1")</f>
        <v>XM_745463.1</v>
      </c>
    </row>
    <row r="48" spans="1:7" x14ac:dyDescent="0.35">
      <c r="A48" t="s">
        <v>272</v>
      </c>
      <c r="B48">
        <v>114</v>
      </c>
      <c r="C48">
        <v>114</v>
      </c>
      <c r="D48" s="2">
        <v>0.56000000000000005</v>
      </c>
      <c r="E48" s="3">
        <v>5.0000000000000002E-26</v>
      </c>
      <c r="F48">
        <v>41.03</v>
      </c>
      <c r="G48" t="str">
        <f>HYPERLINK("https://www.ncbi.nlm.nih.gov/nucleotide/XM_001911327.1?report=genbank&amp;log$=nucltop&amp;blast_rank=45&amp;RID=1U83AZ8U013","XM_001911327.1")</f>
        <v>XM_001911327.1</v>
      </c>
    </row>
    <row r="49" spans="1:7" x14ac:dyDescent="0.35">
      <c r="A49" t="s">
        <v>177</v>
      </c>
      <c r="B49">
        <v>197</v>
      </c>
      <c r="C49">
        <v>197</v>
      </c>
      <c r="D49" s="2">
        <v>0.9</v>
      </c>
      <c r="E49" s="3">
        <v>9.0000000000000006E-58</v>
      </c>
      <c r="F49">
        <v>40.98</v>
      </c>
      <c r="G49" t="str">
        <f>HYPERLINK("https://www.ncbi.nlm.nih.gov/nucleotide/XM_007767661.1?report=genbank&amp;log$=nucltop&amp;blast_rank=46&amp;RID=1U83AZ8U013","XM_007767661.1")</f>
        <v>XM_007767661.1</v>
      </c>
    </row>
    <row r="50" spans="1:7" x14ac:dyDescent="0.35">
      <c r="A50" s="4" t="s">
        <v>235</v>
      </c>
      <c r="B50" s="4">
        <v>115</v>
      </c>
      <c r="C50" s="4">
        <v>115</v>
      </c>
      <c r="D50" s="5">
        <v>0.6</v>
      </c>
      <c r="E50" s="6">
        <v>7.0000000000000004E-25</v>
      </c>
      <c r="F50" s="4">
        <v>40.96</v>
      </c>
      <c r="G50" s="4" t="str">
        <f>HYPERLINK("https://www.ncbi.nlm.nih.gov/nucleotide/XM_955647.2?report=genbank&amp;log$=nucltop&amp;blast_rank=47&amp;RID=1U83AZ8U013","XM_955647.2")</f>
        <v>XM_955647.2</v>
      </c>
    </row>
    <row r="51" spans="1:7" x14ac:dyDescent="0.35">
      <c r="A51" s="4" t="s">
        <v>947</v>
      </c>
      <c r="B51" s="4">
        <v>99.8</v>
      </c>
      <c r="C51" s="4">
        <v>99.8</v>
      </c>
      <c r="D51" s="5">
        <v>0.55000000000000004</v>
      </c>
      <c r="E51" s="6">
        <v>9.9999999999999995E-21</v>
      </c>
      <c r="F51" s="4">
        <v>40.67</v>
      </c>
      <c r="G51" s="4" t="str">
        <f>HYPERLINK("https://www.ncbi.nlm.nih.gov/nucleotide/XM_033556261.1?report=genbank&amp;log$=nucltop&amp;blast_rank=48&amp;RID=1U83AZ8U013","XM_033556261.1")</f>
        <v>XM_033556261.1</v>
      </c>
    </row>
    <row r="52" spans="1:7" x14ac:dyDescent="0.35">
      <c r="A52" t="s">
        <v>176</v>
      </c>
      <c r="B52">
        <v>101</v>
      </c>
      <c r="C52">
        <v>101</v>
      </c>
      <c r="D52" s="2">
        <v>0.56000000000000005</v>
      </c>
      <c r="E52" s="3">
        <v>4.9999999999999997E-21</v>
      </c>
      <c r="F52">
        <v>40.65</v>
      </c>
      <c r="G52" t="str">
        <f>HYPERLINK("https://www.ncbi.nlm.nih.gov/nucleotide/XM_003006183.1?report=genbank&amp;log$=nucltop&amp;blast_rank=49&amp;RID=1U83AZ8U013","XM_003006183.1")</f>
        <v>XM_003006183.1</v>
      </c>
    </row>
    <row r="53" spans="1:7" x14ac:dyDescent="0.35">
      <c r="A53" t="s">
        <v>139</v>
      </c>
      <c r="B53">
        <v>107</v>
      </c>
      <c r="C53">
        <v>107</v>
      </c>
      <c r="D53" s="2">
        <v>0.56999999999999995</v>
      </c>
      <c r="E53" s="3">
        <v>2.0000000000000001E-22</v>
      </c>
      <c r="F53">
        <v>40.51</v>
      </c>
      <c r="G53" t="str">
        <f>HYPERLINK("https://www.ncbi.nlm.nih.gov/nucleotide/XM_016366306.1?report=genbank&amp;log$=nucltop&amp;blast_rank=50&amp;RID=1U83AZ8U013","XM_016366306.1")</f>
        <v>XM_016366306.1</v>
      </c>
    </row>
    <row r="54" spans="1:7" x14ac:dyDescent="0.35">
      <c r="A54" t="s">
        <v>232</v>
      </c>
      <c r="B54">
        <v>113</v>
      </c>
      <c r="C54">
        <v>113</v>
      </c>
      <c r="D54" s="2">
        <v>0.6</v>
      </c>
      <c r="E54" s="3">
        <v>2.0000000000000001E-25</v>
      </c>
      <c r="F54">
        <v>40.36</v>
      </c>
      <c r="G54" t="str">
        <f>HYPERLINK("https://www.ncbi.nlm.nih.gov/nucleotide/XM_003352052.1?report=genbank&amp;log$=nucltop&amp;blast_rank=51&amp;RID=1U83AZ8U013","XM_003352052.1")</f>
        <v>XM_003352052.1</v>
      </c>
    </row>
    <row r="55" spans="1:7" x14ac:dyDescent="0.35">
      <c r="A55" t="s">
        <v>246</v>
      </c>
      <c r="B55">
        <v>111</v>
      </c>
      <c r="C55">
        <v>111</v>
      </c>
      <c r="D55" s="2">
        <v>0.6</v>
      </c>
      <c r="E55" s="3">
        <v>9.9999999999999992E-25</v>
      </c>
      <c r="F55">
        <v>40.36</v>
      </c>
      <c r="G55" t="str">
        <f>HYPERLINK("https://www.ncbi.nlm.nih.gov/nucleotide/XM_009850061.1?report=genbank&amp;log$=nucltop&amp;blast_rank=52&amp;RID=1U83AZ8U013","XM_009850061.1")</f>
        <v>XM_009850061.1</v>
      </c>
    </row>
    <row r="56" spans="1:7" x14ac:dyDescent="0.35">
      <c r="A56" t="s">
        <v>214</v>
      </c>
      <c r="B56">
        <v>109</v>
      </c>
      <c r="C56">
        <v>109</v>
      </c>
      <c r="D56" s="2">
        <v>0.56999999999999995</v>
      </c>
      <c r="E56" s="3">
        <v>3E-24</v>
      </c>
      <c r="F56">
        <v>40.25</v>
      </c>
      <c r="G56" t="str">
        <f>HYPERLINK("https://www.ncbi.nlm.nih.gov/nucleotide/XM_037307991.1?report=genbank&amp;log$=nucltop&amp;blast_rank=53&amp;RID=1U83AZ8U013","XM_037307991.1")</f>
        <v>XM_037307991.1</v>
      </c>
    </row>
    <row r="57" spans="1:7" x14ac:dyDescent="0.35">
      <c r="A57" t="s">
        <v>213</v>
      </c>
      <c r="B57">
        <v>109</v>
      </c>
      <c r="C57">
        <v>109</v>
      </c>
      <c r="D57" s="2">
        <v>0.56999999999999995</v>
      </c>
      <c r="E57" s="3">
        <v>3E-24</v>
      </c>
      <c r="F57">
        <v>40.25</v>
      </c>
      <c r="G57" t="str">
        <f>HYPERLINK("https://www.ncbi.nlm.nih.gov/nucleotide/XM_037299585.1?report=genbank&amp;log$=nucltop&amp;blast_rank=54&amp;RID=1U83AZ8U013","XM_037299585.1")</f>
        <v>XM_037299585.1</v>
      </c>
    </row>
    <row r="58" spans="1:7" x14ac:dyDescent="0.35">
      <c r="A58" t="s">
        <v>225</v>
      </c>
      <c r="B58">
        <v>107</v>
      </c>
      <c r="C58">
        <v>107</v>
      </c>
      <c r="D58" s="2">
        <v>0.55000000000000004</v>
      </c>
      <c r="E58" s="3">
        <v>1.9999999999999999E-23</v>
      </c>
      <c r="F58">
        <v>40.130000000000003</v>
      </c>
      <c r="G58" t="str">
        <f>HYPERLINK("https://www.ncbi.nlm.nih.gov/nucleotide/XM_007722025.1?report=genbank&amp;log$=nucltop&amp;blast_rank=55&amp;RID=1U83AZ8U013","XM_007722025.1")</f>
        <v>XM_007722025.1</v>
      </c>
    </row>
    <row r="59" spans="1:7" x14ac:dyDescent="0.35">
      <c r="A59" t="s">
        <v>216</v>
      </c>
      <c r="B59">
        <v>112</v>
      </c>
      <c r="C59">
        <v>112</v>
      </c>
      <c r="D59" s="2">
        <v>0.56999999999999995</v>
      </c>
      <c r="E59" s="3">
        <v>2.0000000000000001E-25</v>
      </c>
      <c r="F59">
        <v>39.74</v>
      </c>
      <c r="G59" t="str">
        <f>HYPERLINK("https://www.ncbi.nlm.nih.gov/nucleotide/XM_024034823.1?report=genbank&amp;log$=nucltop&amp;blast_rank=56&amp;RID=1U83AZ8U013","XM_024034823.1")</f>
        <v>XM_024034823.1</v>
      </c>
    </row>
    <row r="60" spans="1:7" x14ac:dyDescent="0.35">
      <c r="A60" t="s">
        <v>238</v>
      </c>
      <c r="B60">
        <v>107</v>
      </c>
      <c r="C60">
        <v>107</v>
      </c>
      <c r="D60" s="2">
        <v>0.57999999999999996</v>
      </c>
      <c r="E60" s="3">
        <v>5.0000000000000002E-23</v>
      </c>
      <c r="F60">
        <v>39.619999999999997</v>
      </c>
      <c r="G60" t="str">
        <f>HYPERLINK("https://www.ncbi.nlm.nih.gov/nucleotide/XM_018328867.1?report=genbank&amp;log$=nucltop&amp;blast_rank=57&amp;RID=1U83AZ8U013","XM_018328867.1")</f>
        <v>XM_018328867.1</v>
      </c>
    </row>
    <row r="61" spans="1:7" x14ac:dyDescent="0.35">
      <c r="A61" t="s">
        <v>248</v>
      </c>
      <c r="B61">
        <v>104</v>
      </c>
      <c r="C61">
        <v>104</v>
      </c>
      <c r="D61" s="2">
        <v>0.56999999999999995</v>
      </c>
      <c r="E61" s="3">
        <v>7.0000000000000001E-22</v>
      </c>
      <c r="F61">
        <v>39.49</v>
      </c>
      <c r="G61" t="str">
        <f>HYPERLINK("https://www.ncbi.nlm.nih.gov/nucleotide/XM_007930639.1?report=genbank&amp;log$=nucltop&amp;blast_rank=58&amp;RID=1U83AZ8U013","XM_007930639.1")</f>
        <v>XM_007930639.1</v>
      </c>
    </row>
    <row r="62" spans="1:7" x14ac:dyDescent="0.35">
      <c r="A62" t="s">
        <v>258</v>
      </c>
      <c r="B62">
        <v>111</v>
      </c>
      <c r="C62">
        <v>111</v>
      </c>
      <c r="D62" s="2">
        <v>0.56000000000000005</v>
      </c>
      <c r="E62" s="3">
        <v>2.0000000000000001E-25</v>
      </c>
      <c r="F62">
        <v>39.47</v>
      </c>
      <c r="G62" t="str">
        <f>HYPERLINK("https://www.ncbi.nlm.nih.gov/nucleotide/XM_019169675.1?report=genbank&amp;log$=nucltop&amp;blast_rank=59&amp;RID=1U83AZ8U013","XM_019169675.1")</f>
        <v>XM_019169675.1</v>
      </c>
    </row>
    <row r="63" spans="1:7" x14ac:dyDescent="0.35">
      <c r="A63" s="4" t="s">
        <v>257</v>
      </c>
      <c r="B63" s="4">
        <v>102</v>
      </c>
      <c r="C63" s="4">
        <v>102</v>
      </c>
      <c r="D63" s="5">
        <v>0.53</v>
      </c>
      <c r="E63" s="6">
        <v>5.9999999999999998E-21</v>
      </c>
      <c r="F63" s="4">
        <v>39.46</v>
      </c>
      <c r="G63" s="4" t="str">
        <f>HYPERLINK("https://www.ncbi.nlm.nih.gov/nucleotide/XM_003851169.1?report=genbank&amp;log$=nucltop&amp;blast_rank=60&amp;RID=1U83AZ8U013","XM_003851169.1")</f>
        <v>XM_003851169.1</v>
      </c>
    </row>
    <row r="64" spans="1:7" x14ac:dyDescent="0.35">
      <c r="A64" t="s">
        <v>220</v>
      </c>
      <c r="B64">
        <v>97.8</v>
      </c>
      <c r="C64">
        <v>97.8</v>
      </c>
      <c r="D64" s="2">
        <v>0.53</v>
      </c>
      <c r="E64" s="3">
        <v>4.9999999999999999E-20</v>
      </c>
      <c r="F64">
        <v>39.46</v>
      </c>
      <c r="G64" t="str">
        <f>HYPERLINK("https://www.ncbi.nlm.nih.gov/nucleotide/XM_001819228.3?report=genbank&amp;log$=nucltop&amp;blast_rank=61&amp;RID=1U83AZ8U013","XM_001819228.3")</f>
        <v>XM_001819228.3</v>
      </c>
    </row>
    <row r="65" spans="1:7" x14ac:dyDescent="0.35">
      <c r="A65" s="4" t="s">
        <v>221</v>
      </c>
      <c r="B65" s="4">
        <v>96.7</v>
      </c>
      <c r="C65" s="4">
        <v>96.7</v>
      </c>
      <c r="D65" s="5">
        <v>0.53</v>
      </c>
      <c r="E65" s="6">
        <v>9.9999999999999998E-20</v>
      </c>
      <c r="F65" s="4">
        <v>39.46</v>
      </c>
      <c r="G65" s="4" t="str">
        <f>HYPERLINK("https://www.ncbi.nlm.nih.gov/nucleotide/XM_022538922.1?report=genbank&amp;log$=nucltop&amp;blast_rank=62&amp;RID=1U83AZ8U013","XM_022538922.1")</f>
        <v>XM_022538922.1</v>
      </c>
    </row>
    <row r="66" spans="1:7" x14ac:dyDescent="0.35">
      <c r="A66" s="4" t="s">
        <v>282</v>
      </c>
      <c r="B66" s="4">
        <v>112</v>
      </c>
      <c r="C66" s="4">
        <v>112</v>
      </c>
      <c r="D66" s="5">
        <v>0.57999999999999996</v>
      </c>
      <c r="E66" s="6">
        <v>2.0000000000000001E-25</v>
      </c>
      <c r="F66" s="4">
        <v>39.380000000000003</v>
      </c>
      <c r="G66" s="4" t="str">
        <f>HYPERLINK("https://www.ncbi.nlm.nih.gov/nucleotide/XM_031153619.1?report=genbank&amp;log$=nucltop&amp;blast_rank=63&amp;RID=1U83AZ8U013","XM_031153619.1")</f>
        <v>XM_031153619.1</v>
      </c>
    </row>
    <row r="67" spans="1:7" x14ac:dyDescent="0.35">
      <c r="A67" s="4" t="s">
        <v>1400</v>
      </c>
      <c r="B67" s="4">
        <v>103</v>
      </c>
      <c r="C67" s="4">
        <v>103</v>
      </c>
      <c r="D67" s="5">
        <v>0.54</v>
      </c>
      <c r="E67" s="6">
        <v>1.9999999999999998E-21</v>
      </c>
      <c r="F67" s="4">
        <v>39.33</v>
      </c>
      <c r="G67" s="4" t="str">
        <f>HYPERLINK("https://www.ncbi.nlm.nih.gov/nucleotide/XM_006669050.1?report=genbank&amp;log$=nucltop&amp;blast_rank=64&amp;RID=1U83AZ8U013","XM_006669050.1")</f>
        <v>XM_006669050.1</v>
      </c>
    </row>
    <row r="68" spans="1:7" x14ac:dyDescent="0.35">
      <c r="A68" t="s">
        <v>1401</v>
      </c>
      <c r="B68">
        <v>101</v>
      </c>
      <c r="C68">
        <v>101</v>
      </c>
      <c r="D68" s="2">
        <v>0.52</v>
      </c>
      <c r="E68" s="3">
        <v>7.0000000000000001E-20</v>
      </c>
      <c r="F68">
        <v>39.31</v>
      </c>
      <c r="G68" t="str">
        <f>HYPERLINK("https://www.ncbi.nlm.nih.gov/nucleotide/CP023327.1?report=genbank&amp;log$=nucltop&amp;blast_rank=65&amp;RID=1U83AZ8U013","CP023327.1")</f>
        <v>CP023327.1</v>
      </c>
    </row>
    <row r="69" spans="1:7" x14ac:dyDescent="0.35">
      <c r="A69" t="s">
        <v>735</v>
      </c>
      <c r="B69">
        <v>99.8</v>
      </c>
      <c r="C69">
        <v>99.8</v>
      </c>
      <c r="D69" s="2">
        <v>0.54</v>
      </c>
      <c r="E69" s="3">
        <v>1.9999999999999999E-20</v>
      </c>
      <c r="F69">
        <v>39.19</v>
      </c>
      <c r="G69" t="str">
        <f>HYPERLINK("https://www.ncbi.nlm.nih.gov/nucleotide/XM_003066843.1?report=genbank&amp;log$=nucltop&amp;blast_rank=66&amp;RID=1U83AZ8U013","XM_003066843.1")</f>
        <v>XM_003066843.1</v>
      </c>
    </row>
    <row r="70" spans="1:7" x14ac:dyDescent="0.35">
      <c r="A70" s="4" t="s">
        <v>734</v>
      </c>
      <c r="B70" s="4">
        <v>99.8</v>
      </c>
      <c r="C70" s="4">
        <v>99.8</v>
      </c>
      <c r="D70" s="5">
        <v>0.54</v>
      </c>
      <c r="E70" s="6">
        <v>9.9999999999999998E-20</v>
      </c>
      <c r="F70" s="4">
        <v>39.19</v>
      </c>
      <c r="G70" s="4" t="str">
        <f>HYPERLINK("https://www.ncbi.nlm.nih.gov/nucleotide/XM_012358740.1?report=genbank&amp;log$=nucltop&amp;blast_rank=67&amp;RID=1U83AZ8U013","XM_012358740.1")</f>
        <v>XM_012358740.1</v>
      </c>
    </row>
    <row r="71" spans="1:7" x14ac:dyDescent="0.35">
      <c r="A71" t="s">
        <v>247</v>
      </c>
      <c r="B71">
        <v>109</v>
      </c>
      <c r="C71">
        <v>109</v>
      </c>
      <c r="D71" s="2">
        <v>0.56999999999999995</v>
      </c>
      <c r="E71" s="3">
        <v>3.9999999999999998E-23</v>
      </c>
      <c r="F71">
        <v>39.1</v>
      </c>
      <c r="G71" t="str">
        <f>HYPERLINK("https://www.ncbi.nlm.nih.gov/nucleotide/XM_033744228.1?report=genbank&amp;log$=nucltop&amp;blast_rank=68&amp;RID=1U83AZ8U013","XM_033744228.1")</f>
        <v>XM_033744228.1</v>
      </c>
    </row>
    <row r="72" spans="1:7" x14ac:dyDescent="0.35">
      <c r="A72" s="4" t="s">
        <v>1295</v>
      </c>
      <c r="B72" s="4">
        <v>103</v>
      </c>
      <c r="C72" s="4">
        <v>103</v>
      </c>
      <c r="D72" s="5">
        <v>0.56999999999999995</v>
      </c>
      <c r="E72" s="6">
        <v>2.9999999999999999E-21</v>
      </c>
      <c r="F72" s="4">
        <v>39.1</v>
      </c>
      <c r="G72" s="4" t="str">
        <f>HYPERLINK("https://www.ncbi.nlm.nih.gov/nucleotide/XM_033734327.1?report=genbank&amp;log$=nucltop&amp;blast_rank=69&amp;RID=1U83AZ8U013","XM_033734327.1")</f>
        <v>XM_033734327.1</v>
      </c>
    </row>
    <row r="73" spans="1:7" x14ac:dyDescent="0.35">
      <c r="A73" t="s">
        <v>1287</v>
      </c>
      <c r="B73">
        <v>103</v>
      </c>
      <c r="C73">
        <v>103</v>
      </c>
      <c r="D73" s="2">
        <v>0.56999999999999995</v>
      </c>
      <c r="E73" s="3">
        <v>8.9999999999999994E-21</v>
      </c>
      <c r="F73">
        <v>39.1</v>
      </c>
      <c r="G73" t="str">
        <f>HYPERLINK("https://www.ncbi.nlm.nih.gov/nucleotide/XM_033686317.1?report=genbank&amp;log$=nucltop&amp;blast_rank=70&amp;RID=1U83AZ8U013","XM_033686317.1")</f>
        <v>XM_033686317.1</v>
      </c>
    </row>
    <row r="74" spans="1:7" x14ac:dyDescent="0.35">
      <c r="A74" t="s">
        <v>147</v>
      </c>
      <c r="B74">
        <v>100</v>
      </c>
      <c r="C74">
        <v>100</v>
      </c>
      <c r="D74" s="2">
        <v>0.56000000000000005</v>
      </c>
      <c r="E74" s="3">
        <v>7.0000000000000007E-21</v>
      </c>
      <c r="F74">
        <v>38.96</v>
      </c>
      <c r="G74" t="str">
        <f>HYPERLINK("https://www.ncbi.nlm.nih.gov/nucleotide/XM_007741154.1?report=genbank&amp;log$=nucltop&amp;blast_rank=71&amp;RID=1U83AZ8U013","XM_007741154.1")</f>
        <v>XM_007741154.1</v>
      </c>
    </row>
    <row r="75" spans="1:7" x14ac:dyDescent="0.35">
      <c r="A75" t="s">
        <v>148</v>
      </c>
      <c r="B75">
        <v>100</v>
      </c>
      <c r="C75">
        <v>100</v>
      </c>
      <c r="D75" s="2">
        <v>0.56000000000000005</v>
      </c>
      <c r="E75" s="3">
        <v>9.9999999999999995E-21</v>
      </c>
      <c r="F75">
        <v>38.96</v>
      </c>
      <c r="G75" t="str">
        <f>HYPERLINK("https://www.ncbi.nlm.nih.gov/nucleotide/XM_016758299.1?report=genbank&amp;log$=nucltop&amp;blast_rank=72&amp;RID=1U83AZ8U013","XM_016758299.1")</f>
        <v>XM_016758299.1</v>
      </c>
    </row>
    <row r="76" spans="1:7" x14ac:dyDescent="0.35">
      <c r="A76" t="s">
        <v>254</v>
      </c>
      <c r="B76">
        <v>113</v>
      </c>
      <c r="C76">
        <v>113</v>
      </c>
      <c r="D76" s="2">
        <v>0.57999999999999996</v>
      </c>
      <c r="E76" s="3">
        <v>8.9999999999999998E-26</v>
      </c>
      <c r="F76">
        <v>38.75</v>
      </c>
      <c r="G76" t="str">
        <f>HYPERLINK("https://www.ncbi.nlm.nih.gov/nucleotide/XM_018276579.1?report=genbank&amp;log$=nucltop&amp;blast_rank=73&amp;RID=1U83AZ8U013","XM_018276579.1")</f>
        <v>XM_018276579.1</v>
      </c>
    </row>
    <row r="77" spans="1:7" x14ac:dyDescent="0.35">
      <c r="A77" s="4" t="s">
        <v>223</v>
      </c>
      <c r="B77" s="4">
        <v>96.7</v>
      </c>
      <c r="C77" s="4">
        <v>96.7</v>
      </c>
      <c r="D77" s="5">
        <v>0.54</v>
      </c>
      <c r="E77" s="6">
        <v>9.9999999999999998E-20</v>
      </c>
      <c r="F77" s="4">
        <v>38.67</v>
      </c>
      <c r="G77" s="4" t="str">
        <f>HYPERLINK("https://www.ncbi.nlm.nih.gov/nucleotide/XM_018807475.1?report=genbank&amp;log$=nucltop&amp;blast_rank=74&amp;RID=1U83AZ8U013","XM_018807475.1")</f>
        <v>XM_018807475.1</v>
      </c>
    </row>
    <row r="78" spans="1:7" x14ac:dyDescent="0.35">
      <c r="A78" t="s">
        <v>262</v>
      </c>
      <c r="B78">
        <v>113</v>
      </c>
      <c r="C78">
        <v>113</v>
      </c>
      <c r="D78" s="2">
        <v>0.57999999999999996</v>
      </c>
      <c r="E78" s="3">
        <v>7.0000000000000004E-25</v>
      </c>
      <c r="F78">
        <v>38.36</v>
      </c>
      <c r="G78" t="str">
        <f>HYPERLINK("https://www.ncbi.nlm.nih.gov/nucleotide/XM_024881431.1?report=genbank&amp;log$=nucltop&amp;blast_rank=75&amp;RID=1U83AZ8U013","XM_024881431.1")</f>
        <v>XM_024881431.1</v>
      </c>
    </row>
    <row r="79" spans="1:7" x14ac:dyDescent="0.35">
      <c r="A79" t="s">
        <v>244</v>
      </c>
      <c r="B79">
        <v>108</v>
      </c>
      <c r="C79">
        <v>108</v>
      </c>
      <c r="D79" s="2">
        <v>0.57999999999999996</v>
      </c>
      <c r="E79" s="3">
        <v>6.9999999999999993E-24</v>
      </c>
      <c r="F79">
        <v>38.36</v>
      </c>
      <c r="G79" t="str">
        <f>HYPERLINK("https://www.ncbi.nlm.nih.gov/nucleotide/XM_008081488.1?report=genbank&amp;log$=nucltop&amp;blast_rank=76&amp;RID=1U83AZ8U013","XM_008081488.1")</f>
        <v>XM_008081488.1</v>
      </c>
    </row>
    <row r="80" spans="1:7" x14ac:dyDescent="0.35">
      <c r="A80" t="s">
        <v>276</v>
      </c>
      <c r="B80">
        <v>105</v>
      </c>
      <c r="C80">
        <v>105</v>
      </c>
      <c r="D80" s="2">
        <v>0.57999999999999996</v>
      </c>
      <c r="E80" s="3">
        <v>3.9999999999999998E-23</v>
      </c>
      <c r="F80">
        <v>38.36</v>
      </c>
      <c r="G80" t="str">
        <f>HYPERLINK("https://www.ncbi.nlm.nih.gov/nucleotide/XM_024466619.1?report=genbank&amp;log$=nucltop&amp;blast_rank=77&amp;RID=1U83AZ8U013","XM_024466619.1")</f>
        <v>XM_024466619.1</v>
      </c>
    </row>
    <row r="81" spans="1:7" x14ac:dyDescent="0.35">
      <c r="A81" s="4" t="s">
        <v>268</v>
      </c>
      <c r="B81" s="4">
        <v>99.8</v>
      </c>
      <c r="C81" s="4">
        <v>99.8</v>
      </c>
      <c r="D81" s="5">
        <v>0.51</v>
      </c>
      <c r="E81" s="6">
        <v>9.9999999999999995E-21</v>
      </c>
      <c r="F81" s="4">
        <v>38.299999999999997</v>
      </c>
      <c r="G81" s="4" t="str">
        <f>HYPERLINK("https://www.ncbi.nlm.nih.gov/nucleotide/XM_016742376.1?report=genbank&amp;log$=nucltop&amp;blast_rank=78&amp;RID=1U83AZ8U013","XM_016742376.1")</f>
        <v>XM_016742376.1</v>
      </c>
    </row>
    <row r="82" spans="1:7" x14ac:dyDescent="0.35">
      <c r="A82" t="s">
        <v>191</v>
      </c>
      <c r="B82">
        <v>97.8</v>
      </c>
      <c r="C82">
        <v>97.8</v>
      </c>
      <c r="D82" s="2">
        <v>0.55000000000000004</v>
      </c>
      <c r="E82" s="3">
        <v>9.0000000000000003E-20</v>
      </c>
      <c r="F82">
        <v>38.159999999999997</v>
      </c>
      <c r="G82" t="str">
        <f>HYPERLINK("https://www.ncbi.nlm.nih.gov/nucleotide/XM_016379292.1?report=genbank&amp;log$=nucltop&amp;blast_rank=79&amp;RID=1U83AZ8U013","XM_016379292.1")</f>
        <v>XM_016379292.1</v>
      </c>
    </row>
    <row r="83" spans="1:7" x14ac:dyDescent="0.35">
      <c r="A83" t="s">
        <v>1289</v>
      </c>
      <c r="B83">
        <v>107</v>
      </c>
      <c r="C83">
        <v>107</v>
      </c>
      <c r="D83" s="2">
        <v>0.52</v>
      </c>
      <c r="E83" s="3">
        <v>1E-22</v>
      </c>
      <c r="F83">
        <v>37.76</v>
      </c>
      <c r="G83" t="str">
        <f>HYPERLINK("https://www.ncbi.nlm.nih.gov/nucleotide/XM_033661885.1?report=genbank&amp;log$=nucltop&amp;blast_rank=80&amp;RID=1U83AZ8U013","XM_033661885.1")</f>
        <v>XM_033661885.1</v>
      </c>
    </row>
    <row r="84" spans="1:7" x14ac:dyDescent="0.35">
      <c r="A84" t="s">
        <v>271</v>
      </c>
      <c r="B84">
        <v>99.8</v>
      </c>
      <c r="C84">
        <v>99.8</v>
      </c>
      <c r="D84" s="2">
        <v>0.51</v>
      </c>
      <c r="E84" s="3">
        <v>8.9999999999999994E-21</v>
      </c>
      <c r="F84">
        <v>37.590000000000003</v>
      </c>
      <c r="G84" t="str">
        <f>HYPERLINK("https://www.ncbi.nlm.nih.gov/nucleotide/XM_014675514.1?report=genbank&amp;log$=nucltop&amp;blast_rank=81&amp;RID=1U83AZ8U013","XM_014675514.1")</f>
        <v>XM_014675514.1</v>
      </c>
    </row>
    <row r="85" spans="1:7" x14ac:dyDescent="0.35">
      <c r="A85" t="s">
        <v>218</v>
      </c>
      <c r="B85">
        <v>105</v>
      </c>
      <c r="C85">
        <v>105</v>
      </c>
      <c r="D85" s="2">
        <v>0.56999999999999995</v>
      </c>
      <c r="E85" s="3">
        <v>6.0000000000000001E-23</v>
      </c>
      <c r="F85">
        <v>37.340000000000003</v>
      </c>
      <c r="G85" t="str">
        <f>HYPERLINK("https://www.ncbi.nlm.nih.gov/nucleotide/XM_033831227.1?report=genbank&amp;log$=nucltop&amp;blast_rank=82&amp;RID=1U83AZ8U013","XM_033831227.1")</f>
        <v>XM_033831227.1</v>
      </c>
    </row>
    <row r="86" spans="1:7" x14ac:dyDescent="0.35">
      <c r="A86" t="s">
        <v>252</v>
      </c>
      <c r="B86">
        <v>100</v>
      </c>
      <c r="C86">
        <v>100</v>
      </c>
      <c r="D86" s="2">
        <v>0.55000000000000004</v>
      </c>
      <c r="E86" s="3">
        <v>7.9999999999999993E-21</v>
      </c>
      <c r="F86">
        <v>37.33</v>
      </c>
      <c r="G86" t="str">
        <f>HYPERLINK("https://www.ncbi.nlm.nih.gov/nucleotide/XM_018174954.1?report=genbank&amp;log$=nucltop&amp;blast_rank=83&amp;RID=1U83AZ8U013","XM_018174954.1")</f>
        <v>XM_018174954.1</v>
      </c>
    </row>
    <row r="87" spans="1:7" x14ac:dyDescent="0.35">
      <c r="A87" t="s">
        <v>224</v>
      </c>
      <c r="B87">
        <v>105</v>
      </c>
      <c r="C87">
        <v>105</v>
      </c>
      <c r="D87" s="2">
        <v>0.56999999999999995</v>
      </c>
      <c r="E87" s="3">
        <v>6.9999999999999999E-23</v>
      </c>
      <c r="F87">
        <v>37.18</v>
      </c>
      <c r="G87" t="str">
        <f>HYPERLINK("https://www.ncbi.nlm.nih.gov/nucleotide/XM_022626531.1?report=genbank&amp;log$=nucltop&amp;blast_rank=84&amp;RID=1U83AZ8U013","XM_022626531.1")</f>
        <v>XM_022626531.1</v>
      </c>
    </row>
    <row r="88" spans="1:7" x14ac:dyDescent="0.35">
      <c r="A88" t="s">
        <v>265</v>
      </c>
      <c r="B88">
        <v>104</v>
      </c>
      <c r="C88">
        <v>104</v>
      </c>
      <c r="D88" s="2">
        <v>0.57999999999999996</v>
      </c>
      <c r="E88" s="3">
        <v>2.9999999999999999E-21</v>
      </c>
      <c r="F88">
        <v>37.11</v>
      </c>
      <c r="G88" t="str">
        <f>HYPERLINK("https://www.ncbi.nlm.nih.gov/nucleotide/XM_018215251.1?report=genbank&amp;log$=nucltop&amp;blast_rank=85&amp;RID=1U83AZ8U013","XM_018215251.1")</f>
        <v>XM_018215251.1</v>
      </c>
    </row>
    <row r="89" spans="1:7" x14ac:dyDescent="0.35">
      <c r="A89" t="s">
        <v>255</v>
      </c>
      <c r="B89">
        <v>106</v>
      </c>
      <c r="C89">
        <v>106</v>
      </c>
      <c r="D89" s="2">
        <v>0.55000000000000004</v>
      </c>
      <c r="E89" s="3">
        <v>4.9999999999999995E-22</v>
      </c>
      <c r="F89">
        <v>37.090000000000003</v>
      </c>
      <c r="G89" t="str">
        <f>HYPERLINK("https://www.ncbi.nlm.nih.gov/nucleotide/XM_033533880.1?report=genbank&amp;log$=nucltop&amp;blast_rank=86&amp;RID=1U83AZ8U013","XM_033533880.1")</f>
        <v>XM_033533880.1</v>
      </c>
    </row>
    <row r="90" spans="1:7" x14ac:dyDescent="0.35">
      <c r="A90" t="s">
        <v>259</v>
      </c>
      <c r="B90">
        <v>100</v>
      </c>
      <c r="C90">
        <v>100</v>
      </c>
      <c r="D90" s="2">
        <v>0.56999999999999995</v>
      </c>
      <c r="E90" s="3">
        <v>5.9999999999999998E-21</v>
      </c>
      <c r="F90">
        <v>36.94</v>
      </c>
      <c r="G90" t="str">
        <f>HYPERLINK("https://www.ncbi.nlm.nih.gov/nucleotide/XM_033805656.1?report=genbank&amp;log$=nucltop&amp;blast_rank=87&amp;RID=1U83AZ8U013","XM_033805656.1")</f>
        <v>XM_033805656.1</v>
      </c>
    </row>
    <row r="91" spans="1:7" x14ac:dyDescent="0.35">
      <c r="A91" t="s">
        <v>253</v>
      </c>
      <c r="B91">
        <v>102</v>
      </c>
      <c r="C91">
        <v>102</v>
      </c>
      <c r="D91" s="2">
        <v>0.57999999999999996</v>
      </c>
      <c r="E91" s="3">
        <v>8.9999999999999994E-21</v>
      </c>
      <c r="F91">
        <v>36.880000000000003</v>
      </c>
      <c r="G91" t="str">
        <f>HYPERLINK("https://www.ncbi.nlm.nih.gov/nucleotide/XM_033719977.1?report=genbank&amp;log$=nucltop&amp;blast_rank=88&amp;RID=1U83AZ8U013","XM_033719977.1")</f>
        <v>XM_033719977.1</v>
      </c>
    </row>
    <row r="92" spans="1:7" x14ac:dyDescent="0.35">
      <c r="A92" s="4" t="s">
        <v>1402</v>
      </c>
      <c r="B92" s="4">
        <v>99</v>
      </c>
      <c r="C92" s="4">
        <v>99</v>
      </c>
      <c r="D92" s="5">
        <v>0.56000000000000005</v>
      </c>
      <c r="E92" s="6">
        <v>9.9999999999999998E-20</v>
      </c>
      <c r="F92" s="4">
        <v>36.880000000000003</v>
      </c>
      <c r="G92" s="4" t="str">
        <f>HYPERLINK("https://www.ncbi.nlm.nih.gov/nucleotide/XM_032066512.1?report=genbank&amp;log$=nucltop&amp;blast_rank=89&amp;RID=1U83AZ8U013","XM_032066512.1")</f>
        <v>XM_032066512.1</v>
      </c>
    </row>
    <row r="93" spans="1:7" x14ac:dyDescent="0.35">
      <c r="A93" s="4" t="s">
        <v>1403</v>
      </c>
      <c r="B93" s="4">
        <v>99</v>
      </c>
      <c r="C93" s="4">
        <v>99</v>
      </c>
      <c r="D93" s="5">
        <v>0.56000000000000005</v>
      </c>
      <c r="E93" s="6">
        <v>2E-19</v>
      </c>
      <c r="F93" s="4">
        <v>36.880000000000003</v>
      </c>
      <c r="G93" s="4" t="str">
        <f>HYPERLINK("https://www.ncbi.nlm.nih.gov/nucleotide/XM_032056426.1?report=genbank&amp;log$=nucltop&amp;blast_rank=90&amp;RID=1U83AZ8U013","XM_032056426.1")</f>
        <v>XM_032056426.1</v>
      </c>
    </row>
    <row r="94" spans="1:7" x14ac:dyDescent="0.35">
      <c r="A94" t="s">
        <v>1404</v>
      </c>
      <c r="B94">
        <v>99</v>
      </c>
      <c r="C94">
        <v>99</v>
      </c>
      <c r="D94" s="2">
        <v>0.57999999999999996</v>
      </c>
      <c r="E94" s="3">
        <v>2E-19</v>
      </c>
      <c r="F94">
        <v>36.479999999999997</v>
      </c>
      <c r="G94" t="str">
        <f>HYPERLINK("https://www.ncbi.nlm.nih.gov/nucleotide/XM_013486464.1?report=genbank&amp;log$=nucltop&amp;blast_rank=91&amp;RID=1U83AZ8U013","XM_013486464.1")</f>
        <v>XM_013486464.1</v>
      </c>
    </row>
    <row r="95" spans="1:7" x14ac:dyDescent="0.35">
      <c r="A95" t="s">
        <v>274</v>
      </c>
      <c r="B95">
        <v>100</v>
      </c>
      <c r="C95">
        <v>100</v>
      </c>
      <c r="D95" s="2">
        <v>0.52</v>
      </c>
      <c r="E95" s="3">
        <v>7.0000000000000007E-21</v>
      </c>
      <c r="F95">
        <v>36.36</v>
      </c>
      <c r="G95" t="str">
        <f>HYPERLINK("https://www.ncbi.nlm.nih.gov/nucleotide/XM_008033263.1?report=genbank&amp;log$=nucltop&amp;blast_rank=92&amp;RID=1U83AZ8U013","XM_008033263.1")</f>
        <v>XM_008033263.1</v>
      </c>
    </row>
    <row r="96" spans="1:7" x14ac:dyDescent="0.35">
      <c r="A96" t="s">
        <v>950</v>
      </c>
      <c r="B96">
        <v>101</v>
      </c>
      <c r="C96">
        <v>101</v>
      </c>
      <c r="D96" s="2">
        <v>0.56999999999999995</v>
      </c>
      <c r="E96" s="3">
        <v>3.9999999999999996E-21</v>
      </c>
      <c r="F96">
        <v>35.85</v>
      </c>
      <c r="G96" t="str">
        <f>HYPERLINK("https://www.ncbi.nlm.nih.gov/nucleotide/XM_003833658.1?report=genbank&amp;log$=nucltop&amp;blast_rank=93&amp;RID=1U83AZ8U013","XM_003833658.1")</f>
        <v>XM_003833658.1</v>
      </c>
    </row>
    <row r="97" spans="1:7" x14ac:dyDescent="0.35">
      <c r="A97" t="s">
        <v>245</v>
      </c>
      <c r="B97">
        <v>152</v>
      </c>
      <c r="C97">
        <v>152</v>
      </c>
      <c r="D97" s="2">
        <v>0.91</v>
      </c>
      <c r="E97" s="3">
        <v>2.9999999999999999E-41</v>
      </c>
      <c r="F97">
        <v>35.770000000000003</v>
      </c>
      <c r="G97" t="str">
        <f>HYPERLINK("https://www.ncbi.nlm.nih.gov/nucleotide/XM_001836371.2?report=genbank&amp;log$=nucltop&amp;blast_rank=94&amp;RID=1U83AZ8U013","XM_001836371.2")</f>
        <v>XM_001836371.2</v>
      </c>
    </row>
    <row r="98" spans="1:7" x14ac:dyDescent="0.35">
      <c r="A98" s="4" t="s">
        <v>260</v>
      </c>
      <c r="B98" s="4">
        <v>96.7</v>
      </c>
      <c r="C98" s="4">
        <v>96.7</v>
      </c>
      <c r="D98" s="5">
        <v>0.56999999999999995</v>
      </c>
      <c r="E98" s="6">
        <v>2E-19</v>
      </c>
      <c r="F98" s="4">
        <v>35.67</v>
      </c>
      <c r="G98" s="4" t="str">
        <f>HYPERLINK("https://www.ncbi.nlm.nih.gov/nucleotide/XM_023769316.1?report=genbank&amp;log$=nucltop&amp;blast_rank=95&amp;RID=1U83AZ8U013","XM_023769316.1")</f>
        <v>XM_023769316.1</v>
      </c>
    </row>
    <row r="99" spans="1:7" x14ac:dyDescent="0.35">
      <c r="A99" t="s">
        <v>838</v>
      </c>
      <c r="B99">
        <v>102</v>
      </c>
      <c r="C99">
        <v>102</v>
      </c>
      <c r="D99" s="2">
        <v>0.52</v>
      </c>
      <c r="E99" s="3">
        <v>9.9999999999999991E-22</v>
      </c>
      <c r="F99">
        <v>35.659999999999997</v>
      </c>
      <c r="G99" t="str">
        <f>HYPERLINK("https://www.ncbi.nlm.nih.gov/nucleotide/XM_038932773.1?report=genbank&amp;log$=nucltop&amp;blast_rank=96&amp;RID=1U83AZ8U013","XM_038932773.1")</f>
        <v>XM_038932773.1</v>
      </c>
    </row>
    <row r="100" spans="1:7" x14ac:dyDescent="0.35">
      <c r="A100" t="s">
        <v>269</v>
      </c>
      <c r="B100">
        <v>102</v>
      </c>
      <c r="C100">
        <v>102</v>
      </c>
      <c r="D100" s="2">
        <v>0.52</v>
      </c>
      <c r="E100" s="3">
        <v>1.9999999999999998E-21</v>
      </c>
      <c r="F100">
        <v>35.659999999999997</v>
      </c>
      <c r="G100" t="str">
        <f>HYPERLINK("https://www.ncbi.nlm.nih.gov/nucleotide/XM_028655763.1?report=genbank&amp;log$=nucltop&amp;blast_rank=97&amp;RID=1U83AZ8U013","XM_028655763.1")</f>
        <v>XM_028655763.1</v>
      </c>
    </row>
    <row r="101" spans="1:7" x14ac:dyDescent="0.35">
      <c r="A101" t="s">
        <v>270</v>
      </c>
      <c r="B101">
        <v>102</v>
      </c>
      <c r="C101">
        <v>102</v>
      </c>
      <c r="D101" s="2">
        <v>0.52</v>
      </c>
      <c r="E101" s="3">
        <v>1.9999999999999998E-21</v>
      </c>
      <c r="F101">
        <v>35.659999999999997</v>
      </c>
      <c r="G101" t="str">
        <f>HYPERLINK("https://www.ncbi.nlm.nih.gov/nucleotide/XM_018534397.1?report=genbank&amp;log$=nucltop&amp;blast_rank=98&amp;RID=1U83AZ8U013","XM_018534397.1")</f>
        <v>XM_018534397.1</v>
      </c>
    </row>
    <row r="102" spans="1:7" x14ac:dyDescent="0.35">
      <c r="A102" t="s">
        <v>278</v>
      </c>
      <c r="B102">
        <v>100</v>
      </c>
      <c r="C102">
        <v>100</v>
      </c>
      <c r="D102" s="2">
        <v>0.52</v>
      </c>
      <c r="E102" s="3">
        <v>3.9999999999999998E-20</v>
      </c>
      <c r="F102">
        <v>35.659999999999997</v>
      </c>
      <c r="G102" t="str">
        <f>HYPERLINK("https://www.ncbi.nlm.nih.gov/nucleotide/XM_001933154.1?report=genbank&amp;log$=nucltop&amp;blast_rank=99&amp;RID=1U83AZ8U013","XM_001933154.1")</f>
        <v>XM_001933154.1</v>
      </c>
    </row>
    <row r="103" spans="1:7" x14ac:dyDescent="0.35">
      <c r="A103" t="s">
        <v>1405</v>
      </c>
      <c r="B103">
        <v>99</v>
      </c>
      <c r="C103">
        <v>99</v>
      </c>
      <c r="D103" s="2">
        <v>0.57999999999999996</v>
      </c>
      <c r="E103" s="3">
        <v>6.0000000000000006E-20</v>
      </c>
      <c r="F103">
        <v>35.22</v>
      </c>
      <c r="G103" t="str">
        <f>HYPERLINK("https://www.ncbi.nlm.nih.gov/nucleotide/XM_031997942.1?report=genbank&amp;log$=nucltop&amp;blast_rank=100&amp;RID=1U83AZ8U013","XM_031997942.1")</f>
        <v>XM_031997942.1</v>
      </c>
    </row>
    <row r="104" spans="1:7" x14ac:dyDescent="0.35">
      <c r="A104" s="1" t="s">
        <v>1454</v>
      </c>
    </row>
    <row r="105" spans="1:7" x14ac:dyDescent="0.35">
      <c r="A105" s="1" t="s">
        <v>2</v>
      </c>
      <c r="B105" s="1" t="s">
        <v>3</v>
      </c>
      <c r="C105" s="1" t="s">
        <v>4</v>
      </c>
      <c r="D105" s="1" t="s">
        <v>5</v>
      </c>
      <c r="E105" s="1" t="s">
        <v>6</v>
      </c>
      <c r="F105" s="1" t="s">
        <v>7</v>
      </c>
      <c r="G105" s="1" t="s">
        <v>8</v>
      </c>
    </row>
    <row r="106" spans="1:7" x14ac:dyDescent="0.35">
      <c r="A106" t="s">
        <v>107</v>
      </c>
      <c r="B106">
        <v>172</v>
      </c>
      <c r="C106">
        <v>172</v>
      </c>
      <c r="D106" s="2">
        <v>0.2</v>
      </c>
      <c r="E106" s="3">
        <v>1E-41</v>
      </c>
      <c r="F106">
        <v>67.92</v>
      </c>
      <c r="G106" t="str">
        <f>HYPERLINK("https://www.ncbi.nlm.nih.gov/nucleotide/CP019380.1?report=genbank&amp;log$=nucltop&amp;blast_rank=1&amp;RID=1U84V0E4013","CP019380.1")</f>
        <v>CP019380.1</v>
      </c>
    </row>
    <row r="107" spans="1:7" x14ac:dyDescent="0.35">
      <c r="A107" t="s">
        <v>9</v>
      </c>
      <c r="B107">
        <v>610</v>
      </c>
      <c r="C107">
        <v>610</v>
      </c>
      <c r="D107" s="2">
        <v>1</v>
      </c>
      <c r="E107">
        <v>0</v>
      </c>
      <c r="F107">
        <v>64.12</v>
      </c>
      <c r="G107" t="str">
        <f>HYPERLINK("https://www.ncbi.nlm.nih.gov/nucleotide/LR732079.1?report=genbank&amp;log$=nucltop&amp;blast_rank=2&amp;RID=1U84V0E4013","LR732079.1")</f>
        <v>LR732079.1</v>
      </c>
    </row>
    <row r="108" spans="1:7" x14ac:dyDescent="0.35">
      <c r="A108" t="s">
        <v>108</v>
      </c>
      <c r="B108">
        <v>190</v>
      </c>
      <c r="C108">
        <v>190</v>
      </c>
      <c r="D108" s="2">
        <v>0.25</v>
      </c>
      <c r="E108" s="3">
        <v>1E-54</v>
      </c>
      <c r="F108">
        <v>62.31</v>
      </c>
      <c r="G108" t="str">
        <f>HYPERLINK("https://www.ncbi.nlm.nih.gov/nucleotide/XM_024486644.1?report=genbank&amp;log$=nucltop&amp;blast_rank=3&amp;RID=1U84V0E4013","XM_024486644.1")</f>
        <v>XM_024486644.1</v>
      </c>
    </row>
    <row r="109" spans="1:7" x14ac:dyDescent="0.35">
      <c r="A109" t="s">
        <v>109</v>
      </c>
      <c r="B109">
        <v>187</v>
      </c>
      <c r="C109">
        <v>187</v>
      </c>
      <c r="D109" s="2">
        <v>0.27</v>
      </c>
      <c r="E109" s="3">
        <v>1E-53</v>
      </c>
      <c r="F109">
        <v>58.87</v>
      </c>
      <c r="G109" t="str">
        <f>HYPERLINK("https://www.ncbi.nlm.nih.gov/nucleotide/XM_007870492.1?report=genbank&amp;log$=nucltop&amp;blast_rank=4&amp;RID=1U84V0E4013","XM_007870492.1")</f>
        <v>XM_007870492.1</v>
      </c>
    </row>
    <row r="110" spans="1:7" x14ac:dyDescent="0.35">
      <c r="A110" t="s">
        <v>21</v>
      </c>
      <c r="B110">
        <v>177</v>
      </c>
      <c r="C110">
        <v>177</v>
      </c>
      <c r="D110" s="2">
        <v>0.25</v>
      </c>
      <c r="E110" s="3">
        <v>6.9999999999999999E-50</v>
      </c>
      <c r="F110">
        <v>58.14</v>
      </c>
      <c r="G110" t="str">
        <f>HYPERLINK("https://www.ncbi.nlm.nih.gov/nucleotide/XM_009546988.1?report=genbank&amp;log$=nucltop&amp;blast_rank=5&amp;RID=1U84V0E4013","XM_009546988.1")</f>
        <v>XM_009546988.1</v>
      </c>
    </row>
    <row r="111" spans="1:7" x14ac:dyDescent="0.35">
      <c r="A111" t="s">
        <v>110</v>
      </c>
      <c r="B111">
        <v>214</v>
      </c>
      <c r="C111">
        <v>214</v>
      </c>
      <c r="D111" s="2">
        <v>0.34</v>
      </c>
      <c r="E111" s="3">
        <v>7.0000000000000003E-62</v>
      </c>
      <c r="F111">
        <v>57.95</v>
      </c>
      <c r="G111" t="str">
        <f>HYPERLINK("https://www.ncbi.nlm.nih.gov/nucleotide/XM_003033916.1?report=genbank&amp;log$=nucltop&amp;blast_rank=6&amp;RID=1U84V0E4013","XM_003033916.1")</f>
        <v>XM_003033916.1</v>
      </c>
    </row>
    <row r="112" spans="1:7" x14ac:dyDescent="0.35">
      <c r="A112" t="s">
        <v>19</v>
      </c>
      <c r="B112">
        <v>211</v>
      </c>
      <c r="C112">
        <v>211</v>
      </c>
      <c r="D112" s="2">
        <v>0.35</v>
      </c>
      <c r="E112" s="3">
        <v>1E-58</v>
      </c>
      <c r="F112">
        <v>56.98</v>
      </c>
      <c r="G112" t="str">
        <f>HYPERLINK("https://www.ncbi.nlm.nih.gov/nucleotide/XM_001880888.1?report=genbank&amp;log$=nucltop&amp;blast_rank=7&amp;RID=1U84V0E4013","XM_001880888.1")</f>
        <v>XM_001880888.1</v>
      </c>
    </row>
    <row r="113" spans="1:7" x14ac:dyDescent="0.35">
      <c r="A113" t="s">
        <v>112</v>
      </c>
      <c r="B113">
        <v>171</v>
      </c>
      <c r="C113">
        <v>171</v>
      </c>
      <c r="D113" s="2">
        <v>0.24</v>
      </c>
      <c r="E113" s="3">
        <v>7.9999999999999998E-47</v>
      </c>
      <c r="F113">
        <v>56.64</v>
      </c>
      <c r="G113" t="str">
        <f>HYPERLINK("https://www.ncbi.nlm.nih.gov/nucleotide/XM_007393520.1?report=genbank&amp;log$=nucltop&amp;blast_rank=8&amp;RID=1U84V0E4013","XM_007393520.1")</f>
        <v>XM_007393520.1</v>
      </c>
    </row>
    <row r="114" spans="1:7" x14ac:dyDescent="0.35">
      <c r="A114" s="4" t="s">
        <v>114</v>
      </c>
      <c r="B114" s="4">
        <v>198</v>
      </c>
      <c r="C114" s="4">
        <v>198</v>
      </c>
      <c r="D114" s="5">
        <v>0.33</v>
      </c>
      <c r="E114" s="6">
        <v>2E-52</v>
      </c>
      <c r="F114" s="4">
        <v>55.56</v>
      </c>
      <c r="G114" s="4" t="str">
        <f>HYPERLINK("https://www.ncbi.nlm.nih.gov/nucleotide/LR724670.1?report=genbank&amp;log$=nucltop&amp;blast_rank=9&amp;RID=1U84V0E4013","LR724670.1")</f>
        <v>LR724670.1</v>
      </c>
    </row>
    <row r="115" spans="1:7" x14ac:dyDescent="0.35">
      <c r="A115" t="s">
        <v>113</v>
      </c>
      <c r="B115">
        <v>192</v>
      </c>
      <c r="C115">
        <v>192</v>
      </c>
      <c r="D115" s="2">
        <v>0.34</v>
      </c>
      <c r="E115" s="3">
        <v>2E-55</v>
      </c>
      <c r="F115">
        <v>55.11</v>
      </c>
      <c r="G115" t="str">
        <f>HYPERLINK("https://www.ncbi.nlm.nih.gov/nucleotide/XM_008041408.1?report=genbank&amp;log$=nucltop&amp;blast_rank=10&amp;RID=1U84V0E4013","XM_008041408.1")</f>
        <v>XM_008041408.1</v>
      </c>
    </row>
    <row r="116" spans="1:7" x14ac:dyDescent="0.35">
      <c r="A116" t="s">
        <v>115</v>
      </c>
      <c r="B116">
        <v>191</v>
      </c>
      <c r="C116">
        <v>191</v>
      </c>
      <c r="D116" s="2">
        <v>0.33</v>
      </c>
      <c r="E116" s="3">
        <v>1E-54</v>
      </c>
      <c r="F116">
        <v>52.63</v>
      </c>
      <c r="G116" t="str">
        <f>HYPERLINK("https://www.ncbi.nlm.nih.gov/nucleotide/XM_007388990.1?report=genbank&amp;log$=nucltop&amp;blast_rank=11&amp;RID=1U84V0E4013","XM_007388990.1")</f>
        <v>XM_007388990.1</v>
      </c>
    </row>
    <row r="117" spans="1:7" x14ac:dyDescent="0.35">
      <c r="A117" t="s">
        <v>116</v>
      </c>
      <c r="B117">
        <v>192</v>
      </c>
      <c r="C117">
        <v>192</v>
      </c>
      <c r="D117" s="2">
        <v>0.33</v>
      </c>
      <c r="E117" s="3">
        <v>8.0000000000000001E-50</v>
      </c>
      <c r="F117">
        <v>52.05</v>
      </c>
      <c r="G117" t="str">
        <f>HYPERLINK("https://www.ncbi.nlm.nih.gov/nucleotide/XM_007299403.1?report=genbank&amp;log$=nucltop&amp;blast_rank=12&amp;RID=1U84V0E4013","XM_007299403.1")</f>
        <v>XM_007299403.1</v>
      </c>
    </row>
    <row r="118" spans="1:7" x14ac:dyDescent="0.35">
      <c r="A118" t="s">
        <v>111</v>
      </c>
      <c r="B118">
        <v>222</v>
      </c>
      <c r="C118">
        <v>222</v>
      </c>
      <c r="D118" s="2">
        <v>0.43</v>
      </c>
      <c r="E118" s="3">
        <v>9.9999999999999992E-66</v>
      </c>
      <c r="F118">
        <v>51.8</v>
      </c>
      <c r="G118" t="str">
        <f>HYPERLINK("https://www.ncbi.nlm.nih.gov/nucleotide/XM_007330300.1?report=genbank&amp;log$=nucltop&amp;blast_rank=13&amp;RID=1U84V0E4013","XM_007330300.1")</f>
        <v>XM_007330300.1</v>
      </c>
    </row>
    <row r="119" spans="1:7" x14ac:dyDescent="0.35">
      <c r="A119" t="s">
        <v>118</v>
      </c>
      <c r="B119">
        <v>229</v>
      </c>
      <c r="C119">
        <v>229</v>
      </c>
      <c r="D119" s="2">
        <v>0.45</v>
      </c>
      <c r="E119" s="3">
        <v>7.0000000000000001E-65</v>
      </c>
      <c r="F119">
        <v>51.3</v>
      </c>
      <c r="G119" t="str">
        <f>HYPERLINK("https://www.ncbi.nlm.nih.gov/nucleotide/XM_006459160.1?report=genbank&amp;log$=nucltop&amp;blast_rank=14&amp;RID=1U84V0E4013","XM_006459160.1")</f>
        <v>XM_006459160.1</v>
      </c>
    </row>
    <row r="120" spans="1:7" x14ac:dyDescent="0.35">
      <c r="A120" s="4" t="s">
        <v>119</v>
      </c>
      <c r="B120" s="4">
        <v>191</v>
      </c>
      <c r="C120" s="4">
        <v>191</v>
      </c>
      <c r="D120" s="5">
        <v>0.39</v>
      </c>
      <c r="E120" s="6">
        <v>2.9999999999999999E-48</v>
      </c>
      <c r="F120" s="4">
        <v>49.51</v>
      </c>
      <c r="G120" s="4" t="str">
        <f>HYPERLINK("https://www.ncbi.nlm.nih.gov/nucleotide/XM_027763465.1?report=genbank&amp;log$=nucltop&amp;blast_rank=15&amp;RID=1U84V0E4013","XM_027763465.1")</f>
        <v>XM_027763465.1</v>
      </c>
    </row>
    <row r="121" spans="1:7" x14ac:dyDescent="0.35">
      <c r="A121" t="s">
        <v>137</v>
      </c>
      <c r="B121">
        <v>231</v>
      </c>
      <c r="C121">
        <v>231</v>
      </c>
      <c r="D121" s="2">
        <v>0.49</v>
      </c>
      <c r="E121" s="3">
        <v>3E-65</v>
      </c>
      <c r="F121">
        <v>49.22</v>
      </c>
      <c r="G121" t="str">
        <f>HYPERLINK("https://www.ncbi.nlm.nih.gov/nucleotide/XM_001836370.2?report=genbank&amp;log$=nucltop&amp;blast_rank=16&amp;RID=1U84V0E4013","XM_001836370.2")</f>
        <v>XM_001836370.2</v>
      </c>
    </row>
    <row r="122" spans="1:7" x14ac:dyDescent="0.35">
      <c r="A122" s="4" t="s">
        <v>117</v>
      </c>
      <c r="B122" s="4">
        <v>200</v>
      </c>
      <c r="C122" s="4">
        <v>200</v>
      </c>
      <c r="D122" s="5">
        <v>0.49</v>
      </c>
      <c r="E122" s="6">
        <v>2.0000000000000001E-53</v>
      </c>
      <c r="F122" s="4">
        <v>46.06</v>
      </c>
      <c r="G122" s="4" t="str">
        <f>HYPERLINK("https://www.ncbi.nlm.nih.gov/nucleotide/XM_037359091.1?report=genbank&amp;log$=nucltop&amp;blast_rank=17&amp;RID=1U84V0E4013","XM_037359091.1")</f>
        <v>XM_037359091.1</v>
      </c>
    </row>
    <row r="123" spans="1:7" x14ac:dyDescent="0.35">
      <c r="A123" t="s">
        <v>17</v>
      </c>
      <c r="B123">
        <v>208</v>
      </c>
      <c r="C123">
        <v>208</v>
      </c>
      <c r="D123" s="2">
        <v>0.45</v>
      </c>
      <c r="E123" s="3">
        <v>5.0000000000000002E-54</v>
      </c>
      <c r="F123">
        <v>45.04</v>
      </c>
      <c r="G123" t="str">
        <f>HYPERLINK("https://www.ncbi.nlm.nih.gov/nucleotide/CP015461.1?report=genbank&amp;log$=nucltop&amp;blast_rank=18&amp;RID=1U84V0E4013","CP015461.1")</f>
        <v>CP015461.1</v>
      </c>
    </row>
    <row r="124" spans="1:7" x14ac:dyDescent="0.35">
      <c r="A124" t="s">
        <v>18</v>
      </c>
      <c r="B124">
        <v>208</v>
      </c>
      <c r="C124">
        <v>208</v>
      </c>
      <c r="D124" s="2">
        <v>0.45</v>
      </c>
      <c r="E124" s="3">
        <v>6.0000000000000002E-54</v>
      </c>
      <c r="F124">
        <v>45.04</v>
      </c>
      <c r="G124" t="str">
        <f>HYPERLINK("https://www.ncbi.nlm.nih.gov/nucleotide/CP015474.1?report=genbank&amp;log$=nucltop&amp;blast_rank=19&amp;RID=1U84V0E4013","CP015474.1")</f>
        <v>CP015474.1</v>
      </c>
    </row>
    <row r="125" spans="1:7" x14ac:dyDescent="0.35">
      <c r="A125" t="s">
        <v>16</v>
      </c>
      <c r="B125">
        <v>208</v>
      </c>
      <c r="C125">
        <v>208</v>
      </c>
      <c r="D125" s="2">
        <v>0.45</v>
      </c>
      <c r="E125" s="3">
        <v>6.0000000000000002E-54</v>
      </c>
      <c r="F125">
        <v>45.04</v>
      </c>
      <c r="G125" t="str">
        <f>HYPERLINK("https://www.ncbi.nlm.nih.gov/nucleotide/CP039877.1?report=genbank&amp;log$=nucltop&amp;blast_rank=20&amp;RID=1U84V0E4013","CP039877.1")</f>
        <v>CP039877.1</v>
      </c>
    </row>
    <row r="126" spans="1:7" x14ac:dyDescent="0.35">
      <c r="A126" t="s">
        <v>122</v>
      </c>
      <c r="B126">
        <v>204</v>
      </c>
      <c r="C126">
        <v>204</v>
      </c>
      <c r="D126" s="2">
        <v>0.5</v>
      </c>
      <c r="E126" s="3">
        <v>5.0000000000000002E-54</v>
      </c>
      <c r="F126">
        <v>45</v>
      </c>
      <c r="G126" t="str">
        <f>HYPERLINK("https://www.ncbi.nlm.nih.gov/nucleotide/XM_007362291.1?report=genbank&amp;log$=nucltop&amp;blast_rank=21&amp;RID=1U84V0E4013","XM_007362291.1")</f>
        <v>XM_007362291.1</v>
      </c>
    </row>
    <row r="127" spans="1:7" x14ac:dyDescent="0.35">
      <c r="A127" t="s">
        <v>120</v>
      </c>
      <c r="B127">
        <v>211</v>
      </c>
      <c r="C127">
        <v>211</v>
      </c>
      <c r="D127" s="2">
        <v>0.48</v>
      </c>
      <c r="E127" s="3">
        <v>6.0000000000000002E-58</v>
      </c>
      <c r="F127">
        <v>44.77</v>
      </c>
      <c r="G127" t="str">
        <f>HYPERLINK("https://www.ncbi.nlm.nih.gov/nucleotide/XM_012325304.1?report=genbank&amp;log$=nucltop&amp;blast_rank=22&amp;RID=1U84V0E4013","XM_012325304.1")</f>
        <v>XM_012325304.1</v>
      </c>
    </row>
    <row r="128" spans="1:7" x14ac:dyDescent="0.35">
      <c r="A128" t="s">
        <v>121</v>
      </c>
      <c r="B128">
        <v>162</v>
      </c>
      <c r="C128">
        <v>162</v>
      </c>
      <c r="D128" s="2">
        <v>0.33</v>
      </c>
      <c r="E128" s="3">
        <v>1.0000000000000001E-43</v>
      </c>
      <c r="F128">
        <v>44.19</v>
      </c>
      <c r="G128" t="str">
        <f>HYPERLINK("https://www.ncbi.nlm.nih.gov/nucleotide/XM_007263292.1?report=genbank&amp;log$=nucltop&amp;blast_rank=23&amp;RID=1U84V0E4013","XM_007263292.1")</f>
        <v>XM_007263292.1</v>
      </c>
    </row>
    <row r="129" spans="1:7" x14ac:dyDescent="0.35">
      <c r="A129" t="s">
        <v>125</v>
      </c>
      <c r="B129">
        <v>102</v>
      </c>
      <c r="C129">
        <v>102</v>
      </c>
      <c r="D129" s="2">
        <v>0.24</v>
      </c>
      <c r="E129" s="3">
        <v>8.9999999999999997E-22</v>
      </c>
      <c r="F129">
        <v>42.4</v>
      </c>
      <c r="G129" t="str">
        <f>HYPERLINK("https://www.ncbi.nlm.nih.gov/nucleotide/XM_019169940.1?report=genbank&amp;log$=nucltop&amp;blast_rank=24&amp;RID=1U84V0E4013","XM_019169940.1")</f>
        <v>XM_019169940.1</v>
      </c>
    </row>
    <row r="130" spans="1:7" x14ac:dyDescent="0.35">
      <c r="A130" t="s">
        <v>123</v>
      </c>
      <c r="B130">
        <v>130</v>
      </c>
      <c r="C130">
        <v>130</v>
      </c>
      <c r="D130" s="2">
        <v>0.24</v>
      </c>
      <c r="E130" s="3">
        <v>3E-28</v>
      </c>
      <c r="F130">
        <v>41.78</v>
      </c>
      <c r="G130" t="str">
        <f>HYPERLINK("https://www.ncbi.nlm.nih.gov/nucleotide/XM_025744195.1?report=genbank&amp;log$=nucltop&amp;blast_rank=25&amp;RID=1U84V0E4013","XM_025744195.1")</f>
        <v>XM_025744195.1</v>
      </c>
    </row>
    <row r="131" spans="1:7" x14ac:dyDescent="0.35">
      <c r="A131" t="s">
        <v>128</v>
      </c>
      <c r="B131">
        <v>115</v>
      </c>
      <c r="C131">
        <v>115</v>
      </c>
      <c r="D131" s="2">
        <v>0.25</v>
      </c>
      <c r="E131" s="3">
        <v>1.9999999999999999E-23</v>
      </c>
      <c r="F131">
        <v>41.26</v>
      </c>
      <c r="G131" t="str">
        <f>HYPERLINK("https://www.ncbi.nlm.nih.gov/nucleotide/XM_006958724.1?report=genbank&amp;log$=nucltop&amp;blast_rank=26&amp;RID=1U84V0E4013","XM_006958724.1")</f>
        <v>XM_006958724.1</v>
      </c>
    </row>
    <row r="132" spans="1:7" x14ac:dyDescent="0.35">
      <c r="A132" t="s">
        <v>131</v>
      </c>
      <c r="B132">
        <v>116</v>
      </c>
      <c r="C132">
        <v>116</v>
      </c>
      <c r="D132" s="2">
        <v>0.25</v>
      </c>
      <c r="E132" s="3">
        <v>7.9999999999999994E-24</v>
      </c>
      <c r="F132">
        <v>41.22</v>
      </c>
      <c r="G132" t="str">
        <f>HYPERLINK("https://www.ncbi.nlm.nih.gov/nucleotide/XM_025316520.1?report=genbank&amp;log$=nucltop&amp;blast_rank=27&amp;RID=1U84V0E4013","XM_025316520.1")</f>
        <v>XM_025316520.1</v>
      </c>
    </row>
    <row r="133" spans="1:7" x14ac:dyDescent="0.35">
      <c r="A133" t="s">
        <v>130</v>
      </c>
      <c r="B133">
        <v>110</v>
      </c>
      <c r="C133">
        <v>110</v>
      </c>
      <c r="D133" s="2">
        <v>0.25</v>
      </c>
      <c r="E133" s="3">
        <v>1.9999999999999998E-24</v>
      </c>
      <c r="F133">
        <v>40.74</v>
      </c>
      <c r="G133" t="str">
        <f>HYPERLINK("https://www.ncbi.nlm.nih.gov/nucleotide/XM_018412799.1?report=genbank&amp;log$=nucltop&amp;blast_rank=28&amp;RID=1U84V0E4013","XM_018412799.1")</f>
        <v>XM_018412799.1</v>
      </c>
    </row>
    <row r="134" spans="1:7" x14ac:dyDescent="0.35">
      <c r="A134" t="s">
        <v>133</v>
      </c>
      <c r="B134">
        <v>103</v>
      </c>
      <c r="C134">
        <v>103</v>
      </c>
      <c r="D134" s="2">
        <v>0.27</v>
      </c>
      <c r="E134" s="3">
        <v>3.9999999999999999E-19</v>
      </c>
      <c r="F134">
        <v>40.71</v>
      </c>
      <c r="G134" t="str">
        <f>HYPERLINK("https://www.ncbi.nlm.nih.gov/nucleotide/XM_003349166.1?report=genbank&amp;log$=nucltop&amp;blast_rank=29&amp;RID=1U84V0E4013","XM_003349166.1")</f>
        <v>XM_003349166.1</v>
      </c>
    </row>
    <row r="135" spans="1:7" x14ac:dyDescent="0.35">
      <c r="A135" t="s">
        <v>126</v>
      </c>
      <c r="B135">
        <v>140</v>
      </c>
      <c r="C135">
        <v>140</v>
      </c>
      <c r="D135" s="2">
        <v>0.28000000000000003</v>
      </c>
      <c r="E135" s="3">
        <v>2.0000000000000002E-31</v>
      </c>
      <c r="F135">
        <v>40.590000000000003</v>
      </c>
      <c r="G135" t="str">
        <f>HYPERLINK("https://www.ncbi.nlm.nih.gov/nucleotide/XM_007769767.1?report=genbank&amp;log$=nucltop&amp;blast_rank=30&amp;RID=1U84V0E4013","XM_007769767.1")</f>
        <v>XM_007769767.1</v>
      </c>
    </row>
    <row r="136" spans="1:7" x14ac:dyDescent="0.35">
      <c r="A136" s="4" t="s">
        <v>127</v>
      </c>
      <c r="B136" s="4">
        <v>121</v>
      </c>
      <c r="C136" s="4">
        <v>121</v>
      </c>
      <c r="D136" s="5">
        <v>0.26</v>
      </c>
      <c r="E136" s="6">
        <v>4.9999999999999996E-25</v>
      </c>
      <c r="F136" s="4">
        <v>40.520000000000003</v>
      </c>
      <c r="G136" s="4" t="str">
        <f>HYPERLINK("https://www.ncbi.nlm.nih.gov/nucleotide/XM_037363786.1?report=genbank&amp;log$=nucltop&amp;blast_rank=31&amp;RID=1U84V0E4013","XM_037363786.1")</f>
        <v>XM_037363786.1</v>
      </c>
    </row>
    <row r="137" spans="1:7" x14ac:dyDescent="0.35">
      <c r="A137" t="s">
        <v>129</v>
      </c>
      <c r="B137">
        <v>113</v>
      </c>
      <c r="C137">
        <v>113</v>
      </c>
      <c r="D137" s="2">
        <v>0.28999999999999998</v>
      </c>
      <c r="E137" s="3">
        <v>4.0000000000000002E-22</v>
      </c>
      <c r="F137">
        <v>40.380000000000003</v>
      </c>
      <c r="G137" t="str">
        <f>HYPERLINK("https://www.ncbi.nlm.nih.gov/nucleotide/XM_001912109.1?report=genbank&amp;log$=nucltop&amp;blast_rank=32&amp;RID=1U84V0E4013","XM_001912109.1")</f>
        <v>XM_001912109.1</v>
      </c>
    </row>
    <row r="138" spans="1:7" x14ac:dyDescent="0.35">
      <c r="A138" t="s">
        <v>132</v>
      </c>
      <c r="B138">
        <v>116</v>
      </c>
      <c r="C138">
        <v>116</v>
      </c>
      <c r="D138" s="2">
        <v>0.25</v>
      </c>
      <c r="E138" s="3">
        <v>1.9999999999999999E-23</v>
      </c>
      <c r="F138">
        <v>40.270000000000003</v>
      </c>
      <c r="G138" t="str">
        <f>HYPERLINK("https://www.ncbi.nlm.nih.gov/nucleotide/XM_009267583.1?report=genbank&amp;log$=nucltop&amp;blast_rank=33&amp;RID=1U84V0E4013","XM_009267583.1")</f>
        <v>XM_009267583.1</v>
      </c>
    </row>
    <row r="139" spans="1:7" x14ac:dyDescent="0.35">
      <c r="A139" t="s">
        <v>135</v>
      </c>
      <c r="B139">
        <v>105</v>
      </c>
      <c r="C139">
        <v>105</v>
      </c>
      <c r="D139" s="2">
        <v>0.28000000000000003</v>
      </c>
      <c r="E139" s="3">
        <v>9.9999999999999998E-20</v>
      </c>
      <c r="F139">
        <v>39.04</v>
      </c>
      <c r="G139" t="str">
        <f>HYPERLINK("https://www.ncbi.nlm.nih.gov/nucleotide/XM_007731990.1?report=genbank&amp;log$=nucltop&amp;blast_rank=34&amp;RID=1U84V0E4013","XM_007731990.1")</f>
        <v>XM_007731990.1</v>
      </c>
    </row>
    <row r="140" spans="1:7" x14ac:dyDescent="0.35">
      <c r="A140" t="s">
        <v>143</v>
      </c>
      <c r="B140">
        <v>104</v>
      </c>
      <c r="C140">
        <v>104</v>
      </c>
      <c r="D140" s="2">
        <v>0.27</v>
      </c>
      <c r="E140" s="3">
        <v>2E-19</v>
      </c>
      <c r="F140">
        <v>38.729999999999997</v>
      </c>
      <c r="G140" t="str">
        <f>HYPERLINK("https://www.ncbi.nlm.nih.gov/nucleotide/XM_031128085.1?report=genbank&amp;log$=nucltop&amp;blast_rank=35&amp;RID=1U84V0E4013","XM_031128085.1")</f>
        <v>XM_031128085.1</v>
      </c>
    </row>
    <row r="141" spans="1:7" x14ac:dyDescent="0.35">
      <c r="A141" t="s">
        <v>144</v>
      </c>
      <c r="B141">
        <v>103</v>
      </c>
      <c r="C141">
        <v>103</v>
      </c>
      <c r="D141" s="2">
        <v>0.27</v>
      </c>
      <c r="E141" s="3">
        <v>3.9999999999999999E-19</v>
      </c>
      <c r="F141">
        <v>38.729999999999997</v>
      </c>
      <c r="G141" t="str">
        <f>HYPERLINK("https://www.ncbi.nlm.nih.gov/nucleotide/XM_029895118.1?report=genbank&amp;log$=nucltop&amp;blast_rank=36&amp;RID=1U84V0E4013","XM_029895118.1")</f>
        <v>XM_029895118.1</v>
      </c>
    </row>
    <row r="142" spans="1:7" x14ac:dyDescent="0.35">
      <c r="A142" t="s">
        <v>145</v>
      </c>
      <c r="B142">
        <v>103</v>
      </c>
      <c r="C142">
        <v>103</v>
      </c>
      <c r="D142" s="2">
        <v>0.27</v>
      </c>
      <c r="E142" s="3">
        <v>3.9999999999999999E-19</v>
      </c>
      <c r="F142">
        <v>38.729999999999997</v>
      </c>
      <c r="G142" t="str">
        <f>HYPERLINK("https://www.ncbi.nlm.nih.gov/nucleotide/XM_003717725.1?report=genbank&amp;log$=nucltop&amp;blast_rank=37&amp;RID=1U84V0E4013","XM_003717725.1")</f>
        <v>XM_003717725.1</v>
      </c>
    </row>
    <row r="143" spans="1:7" x14ac:dyDescent="0.35">
      <c r="A143" t="s">
        <v>146</v>
      </c>
      <c r="B143">
        <v>106</v>
      </c>
      <c r="C143">
        <v>106</v>
      </c>
      <c r="D143" s="2">
        <v>0.26</v>
      </c>
      <c r="E143" s="3">
        <v>3.9999999999999998E-20</v>
      </c>
      <c r="F143">
        <v>38.69</v>
      </c>
      <c r="G143" t="str">
        <f>HYPERLINK("https://www.ncbi.nlm.nih.gov/nucleotide/XM_016394547.1?report=genbank&amp;log$=nucltop&amp;blast_rank=38&amp;RID=1U84V0E4013","XM_016394547.1")</f>
        <v>XM_016394547.1</v>
      </c>
    </row>
    <row r="144" spans="1:7" x14ac:dyDescent="0.35">
      <c r="A144" t="s">
        <v>180</v>
      </c>
      <c r="B144">
        <v>105</v>
      </c>
      <c r="C144">
        <v>105</v>
      </c>
      <c r="D144" s="2">
        <v>0.26</v>
      </c>
      <c r="E144" s="3">
        <v>9.9999999999999998E-20</v>
      </c>
      <c r="F144">
        <v>38.69</v>
      </c>
      <c r="G144" t="str">
        <f>HYPERLINK("https://www.ncbi.nlm.nih.gov/nucleotide/XM_016359670.1?report=genbank&amp;log$=nucltop&amp;blast_rank=39&amp;RID=1U84V0E4013","XM_016359670.1")</f>
        <v>XM_016359670.1</v>
      </c>
    </row>
    <row r="145" spans="1:7" x14ac:dyDescent="0.35">
      <c r="A145" t="s">
        <v>148</v>
      </c>
      <c r="B145">
        <v>103</v>
      </c>
      <c r="C145">
        <v>103</v>
      </c>
      <c r="D145" s="2">
        <v>0.26</v>
      </c>
      <c r="E145" s="3">
        <v>2.9999999999999999E-19</v>
      </c>
      <c r="F145">
        <v>38.69</v>
      </c>
      <c r="G145" t="str">
        <f>HYPERLINK("https://www.ncbi.nlm.nih.gov/nucleotide/XM_016767487.1?report=genbank&amp;log$=nucltop&amp;blast_rank=40&amp;RID=1U84V0E4013","XM_016767487.1")</f>
        <v>XM_016767487.1</v>
      </c>
    </row>
    <row r="146" spans="1:7" x14ac:dyDescent="0.35">
      <c r="A146" t="s">
        <v>147</v>
      </c>
      <c r="B146">
        <v>103</v>
      </c>
      <c r="C146">
        <v>103</v>
      </c>
      <c r="D146" s="2">
        <v>0.26</v>
      </c>
      <c r="E146" s="3">
        <v>2.9999999999999999E-19</v>
      </c>
      <c r="F146">
        <v>38.69</v>
      </c>
      <c r="G146" t="str">
        <f>HYPERLINK("https://www.ncbi.nlm.nih.gov/nucleotide/XM_007744248.1?report=genbank&amp;log$=nucltop&amp;blast_rank=41&amp;RID=1U84V0E4013","XM_007744248.1")</f>
        <v>XM_007744248.1</v>
      </c>
    </row>
    <row r="147" spans="1:7" x14ac:dyDescent="0.35">
      <c r="A147" t="s">
        <v>149</v>
      </c>
      <c r="B147">
        <v>98.6</v>
      </c>
      <c r="C147">
        <v>98.6</v>
      </c>
      <c r="D147" s="2">
        <v>0.26</v>
      </c>
      <c r="E147" s="3">
        <v>7.0000000000000003E-19</v>
      </c>
      <c r="F147">
        <v>38.69</v>
      </c>
      <c r="G147" t="str">
        <f>HYPERLINK("https://www.ncbi.nlm.nih.gov/nucleotide/XM_033675412.1?report=genbank&amp;log$=nucltop&amp;blast_rank=42&amp;RID=1U84V0E4013","XM_033675412.1")</f>
        <v>XM_033675412.1</v>
      </c>
    </row>
    <row r="148" spans="1:7" x14ac:dyDescent="0.35">
      <c r="A148" t="s">
        <v>153</v>
      </c>
      <c r="B148">
        <v>122</v>
      </c>
      <c r="C148">
        <v>122</v>
      </c>
      <c r="D148" s="2">
        <v>0.25</v>
      </c>
      <c r="E148" s="3">
        <v>2.9999999999999998E-25</v>
      </c>
      <c r="F148">
        <v>38.56</v>
      </c>
      <c r="G148" t="str">
        <f>HYPERLINK("https://www.ncbi.nlm.nih.gov/nucleotide/LT795076.1?report=genbank&amp;log$=nucltop&amp;blast_rank=43&amp;RID=1U84V0E4013","LT795076.1")</f>
        <v>LT795076.1</v>
      </c>
    </row>
    <row r="149" spans="1:7" x14ac:dyDescent="0.35">
      <c r="A149" t="s">
        <v>154</v>
      </c>
      <c r="B149">
        <v>122</v>
      </c>
      <c r="C149">
        <v>122</v>
      </c>
      <c r="D149" s="2">
        <v>0.25</v>
      </c>
      <c r="E149" s="3">
        <v>7.0000000000000004E-25</v>
      </c>
      <c r="F149">
        <v>38.56</v>
      </c>
      <c r="G149" t="str">
        <f>HYPERLINK("https://www.ncbi.nlm.nih.gov/nucleotide/FQ311445.1?report=genbank&amp;log$=nucltop&amp;blast_rank=44&amp;RID=1U84V0E4013","FQ311445.1")</f>
        <v>FQ311445.1</v>
      </c>
    </row>
    <row r="150" spans="1:7" x14ac:dyDescent="0.35">
      <c r="A150" t="s">
        <v>141</v>
      </c>
      <c r="B150">
        <v>108</v>
      </c>
      <c r="C150">
        <v>108</v>
      </c>
      <c r="D150" s="2">
        <v>0.32</v>
      </c>
      <c r="E150" s="3">
        <v>7.0000000000000007E-21</v>
      </c>
      <c r="F150">
        <v>38.24</v>
      </c>
      <c r="G150" t="str">
        <f>HYPERLINK("https://www.ncbi.nlm.nih.gov/nucleotide/XM_001224600.1?report=genbank&amp;log$=nucltop&amp;blast_rank=45&amp;RID=1U84V0E4013","XM_001224600.1")</f>
        <v>XM_001224600.1</v>
      </c>
    </row>
    <row r="151" spans="1:7" x14ac:dyDescent="0.35">
      <c r="A151" t="s">
        <v>152</v>
      </c>
      <c r="B151">
        <v>103</v>
      </c>
      <c r="C151">
        <v>103</v>
      </c>
      <c r="D151" s="2">
        <v>0.26</v>
      </c>
      <c r="E151" s="3">
        <v>3.9999999999999999E-19</v>
      </c>
      <c r="F151">
        <v>38.130000000000003</v>
      </c>
      <c r="G151" t="str">
        <f>HYPERLINK("https://www.ncbi.nlm.nih.gov/nucleotide/XM_013466482.1?report=genbank&amp;log$=nucltop&amp;blast_rank=46&amp;RID=1U84V0E4013","XM_013466482.1")</f>
        <v>XM_013466482.1</v>
      </c>
    </row>
    <row r="152" spans="1:7" x14ac:dyDescent="0.35">
      <c r="A152" t="s">
        <v>138</v>
      </c>
      <c r="B152">
        <v>105</v>
      </c>
      <c r="C152">
        <v>105</v>
      </c>
      <c r="D152" s="2">
        <v>0.26</v>
      </c>
      <c r="E152" s="3">
        <v>9.9999999999999998E-20</v>
      </c>
      <c r="F152">
        <v>37.96</v>
      </c>
      <c r="G152" t="str">
        <f>HYPERLINK("https://www.ncbi.nlm.nih.gov/nucleotide/XM_018833109.1?report=genbank&amp;log$=nucltop&amp;blast_rank=47&amp;RID=1U84V0E4013","XM_018833109.1")</f>
        <v>XM_018833109.1</v>
      </c>
    </row>
    <row r="153" spans="1:7" x14ac:dyDescent="0.35">
      <c r="A153" t="s">
        <v>134</v>
      </c>
      <c r="B153">
        <v>103</v>
      </c>
      <c r="C153">
        <v>103</v>
      </c>
      <c r="D153" s="2">
        <v>0.28999999999999998</v>
      </c>
      <c r="E153" s="3">
        <v>2.9999999999999999E-19</v>
      </c>
      <c r="F153">
        <v>37.75</v>
      </c>
      <c r="G153" t="str">
        <f>HYPERLINK("https://www.ncbi.nlm.nih.gov/nucleotide/XM_035462003.1?report=genbank&amp;log$=nucltop&amp;blast_rank=48&amp;RID=1U84V0E4013","XM_035462003.1")</f>
        <v>XM_035462003.1</v>
      </c>
    </row>
    <row r="154" spans="1:7" x14ac:dyDescent="0.35">
      <c r="A154" t="s">
        <v>136</v>
      </c>
      <c r="B154">
        <v>120</v>
      </c>
      <c r="C154">
        <v>120</v>
      </c>
      <c r="D154" s="2">
        <v>0.25</v>
      </c>
      <c r="E154" s="3">
        <v>5.9999999999999995E-25</v>
      </c>
      <c r="F154">
        <v>37.74</v>
      </c>
      <c r="G154" t="str">
        <f>HYPERLINK("https://www.ncbi.nlm.nih.gov/nucleotide/XM_024479541.1?report=genbank&amp;log$=nucltop&amp;blast_rank=49&amp;RID=1U84V0E4013","XM_024479541.1")</f>
        <v>XM_024479541.1</v>
      </c>
    </row>
    <row r="155" spans="1:7" x14ac:dyDescent="0.35">
      <c r="A155" t="s">
        <v>139</v>
      </c>
      <c r="B155">
        <v>102</v>
      </c>
      <c r="C155">
        <v>102</v>
      </c>
      <c r="D155" s="2">
        <v>0.26</v>
      </c>
      <c r="E155" s="3">
        <v>1.0000000000000001E-18</v>
      </c>
      <c r="F155">
        <v>37.68</v>
      </c>
      <c r="G155" t="str">
        <f>HYPERLINK("https://www.ncbi.nlm.nih.gov/nucleotide/XM_016364210.1?report=genbank&amp;log$=nucltop&amp;blast_rank=50&amp;RID=1U84V0E4013","XM_016364210.1")</f>
        <v>XM_016364210.1</v>
      </c>
    </row>
    <row r="156" spans="1:7" x14ac:dyDescent="0.35">
      <c r="A156" t="s">
        <v>140</v>
      </c>
      <c r="B156">
        <v>115</v>
      </c>
      <c r="C156">
        <v>115</v>
      </c>
      <c r="D156" s="2">
        <v>0.25</v>
      </c>
      <c r="E156" s="3">
        <v>3E-24</v>
      </c>
      <c r="F156">
        <v>37.659999999999997</v>
      </c>
      <c r="G156" t="str">
        <f>HYPERLINK("https://www.ncbi.nlm.nih.gov/nucleotide/XM_007407307.1?report=genbank&amp;log$=nucltop&amp;blast_rank=51&amp;RID=1U84V0E4013","XM_007407307.1")</f>
        <v>XM_007407307.1</v>
      </c>
    </row>
    <row r="157" spans="1:7" x14ac:dyDescent="0.35">
      <c r="A157" t="s">
        <v>162</v>
      </c>
      <c r="B157">
        <v>105</v>
      </c>
      <c r="C157">
        <v>105</v>
      </c>
      <c r="D157" s="2">
        <v>0.26</v>
      </c>
      <c r="E157" s="3">
        <v>9.0000000000000003E-20</v>
      </c>
      <c r="F157">
        <v>37.5</v>
      </c>
      <c r="G157" t="str">
        <f>HYPERLINK("https://www.ncbi.nlm.nih.gov/nucleotide/XM_033735511.1?report=genbank&amp;log$=nucltop&amp;blast_rank=52&amp;RID=1U84V0E4013","XM_033735511.1")</f>
        <v>XM_033735511.1</v>
      </c>
    </row>
    <row r="158" spans="1:7" x14ac:dyDescent="0.35">
      <c r="A158" t="s">
        <v>1278</v>
      </c>
      <c r="B158">
        <v>102</v>
      </c>
      <c r="C158">
        <v>102</v>
      </c>
      <c r="D158" s="2">
        <v>0.26</v>
      </c>
      <c r="E158" s="3">
        <v>1.0000000000000001E-18</v>
      </c>
      <c r="F158">
        <v>37.229999999999997</v>
      </c>
      <c r="G158" t="str">
        <f>HYPERLINK("https://www.ncbi.nlm.nih.gov/nucleotide/XM_006696638.1?report=genbank&amp;log$=nucltop&amp;blast_rank=53&amp;RID=1U84V0E4013","XM_006696638.1")</f>
        <v>XM_006696638.1</v>
      </c>
    </row>
    <row r="159" spans="1:7" x14ac:dyDescent="0.35">
      <c r="A159" t="s">
        <v>167</v>
      </c>
      <c r="B159">
        <v>103</v>
      </c>
      <c r="C159">
        <v>103</v>
      </c>
      <c r="D159" s="2">
        <v>0.28999999999999998</v>
      </c>
      <c r="E159" s="3">
        <v>2.9999999999999999E-19</v>
      </c>
      <c r="F159">
        <v>37.090000000000003</v>
      </c>
      <c r="G159" t="str">
        <f>HYPERLINK("https://www.ncbi.nlm.nih.gov/nucleotide/XM_007682126.1?report=genbank&amp;log$=nucltop&amp;blast_rank=54&amp;RID=1U84V0E4013","XM_007682126.1")</f>
        <v>XM_007682126.1</v>
      </c>
    </row>
    <row r="160" spans="1:7" x14ac:dyDescent="0.35">
      <c r="A160" t="s">
        <v>160</v>
      </c>
      <c r="B160">
        <v>102</v>
      </c>
      <c r="C160">
        <v>102</v>
      </c>
      <c r="D160" s="2">
        <v>0.28999999999999998</v>
      </c>
      <c r="E160" s="3">
        <v>2.0000000000000001E-18</v>
      </c>
      <c r="F160">
        <v>37.090000000000003</v>
      </c>
      <c r="G160" t="str">
        <f>HYPERLINK("https://www.ncbi.nlm.nih.gov/nucleotide/XM_011396471.1?report=genbank&amp;log$=nucltop&amp;blast_rank=55&amp;RID=1U84V0E4013","XM_011396471.1")</f>
        <v>XM_011396471.1</v>
      </c>
    </row>
    <row r="161" spans="1:7" x14ac:dyDescent="0.35">
      <c r="A161" t="s">
        <v>161</v>
      </c>
      <c r="B161">
        <v>102</v>
      </c>
      <c r="C161">
        <v>102</v>
      </c>
      <c r="D161" s="2">
        <v>0.28999999999999998</v>
      </c>
      <c r="E161" s="3">
        <v>2.0000000000000001E-18</v>
      </c>
      <c r="F161">
        <v>37.090000000000003</v>
      </c>
      <c r="G161" t="str">
        <f>HYPERLINK("https://www.ncbi.nlm.nih.gov/nucleotide/XM_011396472.1?report=genbank&amp;log$=nucltop&amp;blast_rank=56&amp;RID=1U84V0E4013","XM_011396472.1")</f>
        <v>XM_011396472.1</v>
      </c>
    </row>
    <row r="162" spans="1:7" x14ac:dyDescent="0.35">
      <c r="A162" t="s">
        <v>142</v>
      </c>
      <c r="B162">
        <v>106</v>
      </c>
      <c r="C162">
        <v>106</v>
      </c>
      <c r="D162" s="2">
        <v>0.28000000000000003</v>
      </c>
      <c r="E162" s="3">
        <v>6.0000000000000006E-20</v>
      </c>
      <c r="F162">
        <v>36.99</v>
      </c>
      <c r="G162" t="str">
        <f>HYPERLINK("https://www.ncbi.nlm.nih.gov/nucleotide/XM_013412294.1?report=genbank&amp;log$=nucltop&amp;blast_rank=57&amp;RID=1U84V0E4013","XM_013412294.1")</f>
        <v>XM_013412294.1</v>
      </c>
    </row>
    <row r="163" spans="1:7" x14ac:dyDescent="0.35">
      <c r="A163" t="s">
        <v>175</v>
      </c>
      <c r="B163">
        <v>104</v>
      </c>
      <c r="C163">
        <v>104</v>
      </c>
      <c r="D163" s="2">
        <v>0.28000000000000003</v>
      </c>
      <c r="E163" s="3">
        <v>2E-19</v>
      </c>
      <c r="F163">
        <v>36.99</v>
      </c>
      <c r="G163" t="str">
        <f>HYPERLINK("https://www.ncbi.nlm.nih.gov/nucleotide/XM_022651297.1?report=genbank&amp;log$=nucltop&amp;blast_rank=58&amp;RID=1U84V0E4013","XM_022651297.1")</f>
        <v>XM_022651297.1</v>
      </c>
    </row>
    <row r="164" spans="1:7" x14ac:dyDescent="0.35">
      <c r="A164" t="s">
        <v>155</v>
      </c>
      <c r="B164">
        <v>104</v>
      </c>
      <c r="C164">
        <v>104</v>
      </c>
      <c r="D164" s="2">
        <v>0.28000000000000003</v>
      </c>
      <c r="E164" s="3">
        <v>2E-19</v>
      </c>
      <c r="F164">
        <v>36.99</v>
      </c>
      <c r="G164" t="str">
        <f>HYPERLINK("https://www.ncbi.nlm.nih.gov/nucleotide/XM_022639301.1?report=genbank&amp;log$=nucltop&amp;blast_rank=59&amp;RID=1U84V0E4013","XM_022639301.1")</f>
        <v>XM_022639301.1</v>
      </c>
    </row>
    <row r="165" spans="1:7" x14ac:dyDescent="0.35">
      <c r="A165" t="s">
        <v>156</v>
      </c>
      <c r="B165">
        <v>104</v>
      </c>
      <c r="C165">
        <v>104</v>
      </c>
      <c r="D165" s="2">
        <v>0.28000000000000003</v>
      </c>
      <c r="E165" s="3">
        <v>2E-19</v>
      </c>
      <c r="F165">
        <v>36.99</v>
      </c>
      <c r="G165" t="str">
        <f>HYPERLINK("https://www.ncbi.nlm.nih.gov/nucleotide/XM_013424715.1?report=genbank&amp;log$=nucltop&amp;blast_rank=60&amp;RID=1U84V0E4013","XM_013424715.1")</f>
        <v>XM_013424715.1</v>
      </c>
    </row>
    <row r="166" spans="1:7" x14ac:dyDescent="0.35">
      <c r="A166" t="s">
        <v>113</v>
      </c>
      <c r="B166">
        <v>121</v>
      </c>
      <c r="C166">
        <v>121</v>
      </c>
      <c r="D166" s="2">
        <v>0.26</v>
      </c>
      <c r="E166" s="3">
        <v>4.0000000000000002E-25</v>
      </c>
      <c r="F166">
        <v>36.880000000000003</v>
      </c>
      <c r="G166" t="str">
        <f>HYPERLINK("https://www.ncbi.nlm.nih.gov/nucleotide/XM_008037398.1?report=genbank&amp;log$=nucltop&amp;blast_rank=61&amp;RID=1U84V0E4013","XM_008037398.1")</f>
        <v>XM_008037398.1</v>
      </c>
    </row>
    <row r="167" spans="1:7" x14ac:dyDescent="0.35">
      <c r="A167" t="s">
        <v>164</v>
      </c>
      <c r="B167">
        <v>104</v>
      </c>
      <c r="C167">
        <v>104</v>
      </c>
      <c r="D167" s="2">
        <v>0.3</v>
      </c>
      <c r="E167" s="3">
        <v>2E-19</v>
      </c>
      <c r="F167">
        <v>36.880000000000003</v>
      </c>
      <c r="G167" t="str">
        <f>HYPERLINK("https://www.ncbi.nlm.nih.gov/nucleotide/XM_009161017.1?report=genbank&amp;log$=nucltop&amp;blast_rank=62&amp;RID=1U84V0E4013","XM_009161017.1")</f>
        <v>XM_009161017.1</v>
      </c>
    </row>
    <row r="168" spans="1:7" x14ac:dyDescent="0.35">
      <c r="A168" t="s">
        <v>937</v>
      </c>
      <c r="B168">
        <v>102</v>
      </c>
      <c r="C168">
        <v>102</v>
      </c>
      <c r="D168" s="2">
        <v>0.27</v>
      </c>
      <c r="E168" s="3">
        <v>9.0000000000000003E-19</v>
      </c>
      <c r="F168">
        <v>36.619999999999997</v>
      </c>
      <c r="G168" t="str">
        <f>HYPERLINK("https://www.ncbi.nlm.nih.gov/nucleotide/XM_009224468.1?report=genbank&amp;log$=nucltop&amp;blast_rank=63&amp;RID=1U84V0E4013","XM_009224468.1")</f>
        <v>XM_009224468.1</v>
      </c>
    </row>
    <row r="169" spans="1:7" x14ac:dyDescent="0.35">
      <c r="A169" t="s">
        <v>166</v>
      </c>
      <c r="B169">
        <v>120</v>
      </c>
      <c r="C169">
        <v>120</v>
      </c>
      <c r="D169" s="2">
        <v>0.25</v>
      </c>
      <c r="E169" s="3">
        <v>1.9999999999999998E-24</v>
      </c>
      <c r="F169">
        <v>36.54</v>
      </c>
      <c r="G169" t="str">
        <f>HYPERLINK("https://www.ncbi.nlm.nih.gov/nucleotide/CP060305.1?report=genbank&amp;log$=nucltop&amp;blast_rank=64&amp;RID=1U84V0E4013","CP060305.1")</f>
        <v>CP060305.1</v>
      </c>
    </row>
    <row r="170" spans="1:7" x14ac:dyDescent="0.35">
      <c r="A170" t="s">
        <v>168</v>
      </c>
      <c r="B170">
        <v>107</v>
      </c>
      <c r="C170">
        <v>107</v>
      </c>
      <c r="D170" s="2">
        <v>0.32</v>
      </c>
      <c r="E170" s="3">
        <v>3.0000000000000003E-20</v>
      </c>
      <c r="F170">
        <v>36.47</v>
      </c>
      <c r="G170" t="str">
        <f>HYPERLINK("https://www.ncbi.nlm.nih.gov/nucleotide/XM_033727516.1?report=genbank&amp;log$=nucltop&amp;blast_rank=65&amp;RID=1U84V0E4013","XM_033727516.1")</f>
        <v>XM_033727516.1</v>
      </c>
    </row>
    <row r="171" spans="1:7" x14ac:dyDescent="0.35">
      <c r="A171" t="s">
        <v>808</v>
      </c>
      <c r="B171">
        <v>120</v>
      </c>
      <c r="C171">
        <v>120</v>
      </c>
      <c r="D171" s="2">
        <v>0.28999999999999998</v>
      </c>
      <c r="E171" s="3">
        <v>9.9999999999999992E-25</v>
      </c>
      <c r="F171">
        <v>36.42</v>
      </c>
      <c r="G171" t="str">
        <f>HYPERLINK("https://www.ncbi.nlm.nih.gov/nucleotide/XM_039067136.1?report=genbank&amp;log$=nucltop&amp;blast_rank=66&amp;RID=1U84V0E4013","XM_039067136.1")</f>
        <v>XM_039067136.1</v>
      </c>
    </row>
    <row r="172" spans="1:7" x14ac:dyDescent="0.35">
      <c r="A172" t="s">
        <v>174</v>
      </c>
      <c r="B172">
        <v>106</v>
      </c>
      <c r="C172">
        <v>106</v>
      </c>
      <c r="D172" s="2">
        <v>0.28999999999999998</v>
      </c>
      <c r="E172" s="3">
        <v>4.9999999999999999E-20</v>
      </c>
      <c r="F172">
        <v>36.36</v>
      </c>
      <c r="G172" t="str">
        <f>HYPERLINK("https://www.ncbi.nlm.nih.gov/nucleotide/XM_016779755.1?report=genbank&amp;log$=nucltop&amp;blast_rank=67&amp;RID=1U84V0E4013","XM_016779755.1")</f>
        <v>XM_016779755.1</v>
      </c>
    </row>
    <row r="173" spans="1:7" x14ac:dyDescent="0.35">
      <c r="A173" t="s">
        <v>150</v>
      </c>
      <c r="B173">
        <v>105</v>
      </c>
      <c r="C173">
        <v>105</v>
      </c>
      <c r="D173" s="2">
        <v>0.32</v>
      </c>
      <c r="E173" s="3">
        <v>7.9999999999999996E-20</v>
      </c>
      <c r="F173">
        <v>36.31</v>
      </c>
      <c r="G173" t="str">
        <f>HYPERLINK("https://www.ncbi.nlm.nih.gov/nucleotide/XM_033687745.1?report=genbank&amp;log$=nucltop&amp;blast_rank=68&amp;RID=1U84V0E4013","XM_033687745.1")</f>
        <v>XM_033687745.1</v>
      </c>
    </row>
    <row r="174" spans="1:7" x14ac:dyDescent="0.35">
      <c r="A174" t="s">
        <v>171</v>
      </c>
      <c r="B174">
        <v>114</v>
      </c>
      <c r="C174">
        <v>114</v>
      </c>
      <c r="D174" s="2">
        <v>0.24</v>
      </c>
      <c r="E174" s="3">
        <v>1E-22</v>
      </c>
      <c r="F174">
        <v>36.18</v>
      </c>
      <c r="G174" t="str">
        <f>HYPERLINK("https://www.ncbi.nlm.nih.gov/nucleotide/XM_036774740.1?report=genbank&amp;log$=nucltop&amp;blast_rank=69&amp;RID=1U84V0E4013","XM_036774740.1")</f>
        <v>XM_036774740.1</v>
      </c>
    </row>
    <row r="175" spans="1:7" x14ac:dyDescent="0.35">
      <c r="A175" t="s">
        <v>742</v>
      </c>
      <c r="B175">
        <v>230</v>
      </c>
      <c r="C175">
        <v>230</v>
      </c>
      <c r="D175" s="2">
        <v>0.99</v>
      </c>
      <c r="E175" s="3">
        <v>4.9999999999999998E-65</v>
      </c>
      <c r="F175">
        <v>36.11</v>
      </c>
      <c r="G175" t="str">
        <f>HYPERLINK("https://www.ncbi.nlm.nih.gov/nucleotide/XM_036779061.1?report=genbank&amp;log$=nucltop&amp;blast_rank=70&amp;RID=1U84V0E4013","XM_036779061.1")</f>
        <v>XM_036779061.1</v>
      </c>
    </row>
    <row r="176" spans="1:7" x14ac:dyDescent="0.35">
      <c r="A176" t="s">
        <v>172</v>
      </c>
      <c r="B176">
        <v>119</v>
      </c>
      <c r="C176">
        <v>119</v>
      </c>
      <c r="D176" s="2">
        <v>0.25</v>
      </c>
      <c r="E176" s="3">
        <v>4.9999999999999998E-24</v>
      </c>
      <c r="F176">
        <v>36.08</v>
      </c>
      <c r="G176" t="str">
        <f>HYPERLINK("https://www.ncbi.nlm.nih.gov/nucleotide/LK056654.1?report=genbank&amp;log$=nucltop&amp;blast_rank=71&amp;RID=1U84V0E4013","LK056654.1")</f>
        <v>LK056654.1</v>
      </c>
    </row>
    <row r="177" spans="1:7" x14ac:dyDescent="0.35">
      <c r="A177" t="s">
        <v>173</v>
      </c>
      <c r="B177">
        <v>119</v>
      </c>
      <c r="C177">
        <v>119</v>
      </c>
      <c r="D177" s="2">
        <v>0.25</v>
      </c>
      <c r="E177" s="3">
        <v>4.9999999999999998E-24</v>
      </c>
      <c r="F177">
        <v>36.08</v>
      </c>
      <c r="G177" t="str">
        <f>HYPERLINK("https://www.ncbi.nlm.nih.gov/nucleotide/CP010920.1?report=genbank&amp;log$=nucltop&amp;blast_rank=72&amp;RID=1U84V0E4013","CP010920.1")</f>
        <v>CP010920.1</v>
      </c>
    </row>
    <row r="178" spans="1:7" x14ac:dyDescent="0.35">
      <c r="A178" t="s">
        <v>185</v>
      </c>
      <c r="B178">
        <v>115</v>
      </c>
      <c r="C178">
        <v>115</v>
      </c>
      <c r="D178" s="2">
        <v>0.25</v>
      </c>
      <c r="E178" s="3">
        <v>3.9999999999999998E-23</v>
      </c>
      <c r="F178">
        <v>35.979999999999997</v>
      </c>
      <c r="G178" t="str">
        <f>HYPERLINK("https://www.ncbi.nlm.nih.gov/nucleotide/XM_007882346.1?report=genbank&amp;log$=nucltop&amp;blast_rank=73&amp;RID=1U84V0E4013","XM_007882346.1")</f>
        <v>XM_007882346.1</v>
      </c>
    </row>
    <row r="179" spans="1:7" x14ac:dyDescent="0.35">
      <c r="A179" t="s">
        <v>177</v>
      </c>
      <c r="B179">
        <v>99.8</v>
      </c>
      <c r="C179">
        <v>99.8</v>
      </c>
      <c r="D179" s="2">
        <v>0.26</v>
      </c>
      <c r="E179" s="3">
        <v>2E-19</v>
      </c>
      <c r="F179">
        <v>35.979999999999997</v>
      </c>
      <c r="G179" t="str">
        <f>HYPERLINK("https://www.ncbi.nlm.nih.gov/nucleotide/XM_007771470.1?report=genbank&amp;log$=nucltop&amp;blast_rank=74&amp;RID=1U84V0E4013","XM_007771470.1")</f>
        <v>XM_007771470.1</v>
      </c>
    </row>
    <row r="180" spans="1:7" x14ac:dyDescent="0.35">
      <c r="A180" t="s">
        <v>178</v>
      </c>
      <c r="B180">
        <v>117</v>
      </c>
      <c r="C180">
        <v>117</v>
      </c>
      <c r="D180" s="2">
        <v>0.24</v>
      </c>
      <c r="E180" s="3">
        <v>9.9999999999999996E-24</v>
      </c>
      <c r="F180">
        <v>35.950000000000003</v>
      </c>
      <c r="G180" t="str">
        <f>HYPERLINK("https://www.ncbi.nlm.nih.gov/nucleotide/XM_025502720.1?report=genbank&amp;log$=nucltop&amp;blast_rank=75&amp;RID=1U84V0E4013","XM_025502720.1")</f>
        <v>XM_025502720.1</v>
      </c>
    </row>
    <row r="181" spans="1:7" x14ac:dyDescent="0.35">
      <c r="A181" t="s">
        <v>181</v>
      </c>
      <c r="B181">
        <v>102</v>
      </c>
      <c r="C181">
        <v>102</v>
      </c>
      <c r="D181" s="2">
        <v>0.32</v>
      </c>
      <c r="E181" s="3">
        <v>7.9999999999999998E-19</v>
      </c>
      <c r="F181">
        <v>35.71</v>
      </c>
      <c r="G181" t="str">
        <f>HYPERLINK("https://www.ncbi.nlm.nih.gov/nucleotide/XM_003857639.1?report=genbank&amp;log$=nucltop&amp;blast_rank=76&amp;RID=1U84V0E4013","XM_003857639.1")</f>
        <v>XM_003857639.1</v>
      </c>
    </row>
    <row r="182" spans="1:7" x14ac:dyDescent="0.35">
      <c r="A182" t="s">
        <v>182</v>
      </c>
      <c r="B182">
        <v>120</v>
      </c>
      <c r="C182">
        <v>120</v>
      </c>
      <c r="D182" s="2">
        <v>0.25</v>
      </c>
      <c r="E182" s="3">
        <v>1.9999999999999998E-24</v>
      </c>
      <c r="F182">
        <v>35.619999999999997</v>
      </c>
      <c r="G182" t="str">
        <f>HYPERLINK("https://www.ncbi.nlm.nih.gov/nucleotide/XM_029884767.1?report=genbank&amp;log$=nucltop&amp;blast_rank=77&amp;RID=1U84V0E4013","XM_029884767.1")</f>
        <v>XM_029884767.1</v>
      </c>
    </row>
    <row r="183" spans="1:7" x14ac:dyDescent="0.35">
      <c r="A183" t="s">
        <v>151</v>
      </c>
      <c r="B183">
        <v>106</v>
      </c>
      <c r="C183">
        <v>106</v>
      </c>
      <c r="D183" s="2">
        <v>0.32</v>
      </c>
      <c r="E183" s="3">
        <v>3.9999999999999998E-20</v>
      </c>
      <c r="F183">
        <v>35.54</v>
      </c>
      <c r="G183" t="str">
        <f>HYPERLINK("https://www.ncbi.nlm.nih.gov/nucleotide/XM_031136412.1?report=genbank&amp;log$=nucltop&amp;blast_rank=78&amp;RID=1U84V0E4013","XM_031136412.1")</f>
        <v>XM_031136412.1</v>
      </c>
    </row>
    <row r="184" spans="1:7" x14ac:dyDescent="0.35">
      <c r="A184" t="s">
        <v>183</v>
      </c>
      <c r="B184">
        <v>114</v>
      </c>
      <c r="C184">
        <v>114</v>
      </c>
      <c r="D184" s="2">
        <v>0.3</v>
      </c>
      <c r="E184" s="3">
        <v>4.0000000000000002E-25</v>
      </c>
      <c r="F184">
        <v>35.520000000000003</v>
      </c>
      <c r="G184" t="str">
        <f>HYPERLINK("https://www.ncbi.nlm.nih.gov/nucleotide/XM_016436705.1?report=genbank&amp;log$=nucltop&amp;blast_rank=79&amp;RID=1U84V0E4013","XM_016436705.1")</f>
        <v>XM_016436705.1</v>
      </c>
    </row>
    <row r="185" spans="1:7" x14ac:dyDescent="0.35">
      <c r="A185" t="s">
        <v>159</v>
      </c>
      <c r="B185">
        <v>122</v>
      </c>
      <c r="C185">
        <v>122</v>
      </c>
      <c r="D185" s="2">
        <v>0.27</v>
      </c>
      <c r="E185" s="3">
        <v>2.0000000000000001E-25</v>
      </c>
      <c r="F185">
        <v>35.5</v>
      </c>
      <c r="G185" t="str">
        <f>HYPERLINK("https://www.ncbi.nlm.nih.gov/nucleotide/XM_007364265.1?report=genbank&amp;log$=nucltop&amp;blast_rank=80&amp;RID=1U84V0E4013","XM_007364265.1")</f>
        <v>XM_007364265.1</v>
      </c>
    </row>
    <row r="186" spans="1:7" x14ac:dyDescent="0.35">
      <c r="A186" t="s">
        <v>126</v>
      </c>
      <c r="B186">
        <v>179</v>
      </c>
      <c r="C186">
        <v>179</v>
      </c>
      <c r="D186" s="2">
        <v>0.73</v>
      </c>
      <c r="E186" s="3">
        <v>1.9999999999999999E-44</v>
      </c>
      <c r="F186">
        <v>35.42</v>
      </c>
      <c r="G186" t="str">
        <f>HYPERLINK("https://www.ncbi.nlm.nih.gov/nucleotide/XM_007767799.1?report=genbank&amp;log$=nucltop&amp;blast_rank=81&amp;RID=1U84V0E4013","XM_007767799.1")</f>
        <v>XM_007767799.1</v>
      </c>
    </row>
    <row r="187" spans="1:7" x14ac:dyDescent="0.35">
      <c r="A187" t="s">
        <v>120</v>
      </c>
      <c r="B187">
        <v>121</v>
      </c>
      <c r="C187">
        <v>121</v>
      </c>
      <c r="D187" s="2">
        <v>0.26</v>
      </c>
      <c r="E187" s="3">
        <v>4.0000000000000002E-25</v>
      </c>
      <c r="F187">
        <v>35.4</v>
      </c>
      <c r="G187" t="str">
        <f>HYPERLINK("https://www.ncbi.nlm.nih.gov/nucleotide/XM_012325595.1?report=genbank&amp;log$=nucltop&amp;blast_rank=82&amp;RID=1U84V0E4013","XM_012325595.1")</f>
        <v>XM_012325595.1</v>
      </c>
    </row>
    <row r="188" spans="1:7" x14ac:dyDescent="0.35">
      <c r="A188" t="s">
        <v>186</v>
      </c>
      <c r="B188">
        <v>103</v>
      </c>
      <c r="C188">
        <v>103</v>
      </c>
      <c r="D188" s="2">
        <v>0.32</v>
      </c>
      <c r="E188" s="3">
        <v>5.0000000000000004E-19</v>
      </c>
      <c r="F188">
        <v>35.29</v>
      </c>
      <c r="G188" t="str">
        <f>HYPERLINK("https://www.ncbi.nlm.nih.gov/nucleotide/XM_016784392.1?report=genbank&amp;log$=nucltop&amp;blast_rank=83&amp;RID=1U84V0E4013","XM_016784392.1")</f>
        <v>XM_016784392.1</v>
      </c>
    </row>
    <row r="189" spans="1:7" x14ac:dyDescent="0.35">
      <c r="A189" t="s">
        <v>163</v>
      </c>
      <c r="B189">
        <v>114</v>
      </c>
      <c r="C189">
        <v>114</v>
      </c>
      <c r="D189" s="2">
        <v>0.44</v>
      </c>
      <c r="E189" s="3">
        <v>6.9999999999999999E-23</v>
      </c>
      <c r="F189">
        <v>35.24</v>
      </c>
      <c r="G189" t="str">
        <f>HYPERLINK("https://www.ncbi.nlm.nih.gov/nucleotide/XM_016416769.1?report=genbank&amp;log$=nucltop&amp;blast_rank=84&amp;RID=1U84V0E4013","XM_016416769.1")</f>
        <v>XM_016416769.1</v>
      </c>
    </row>
    <row r="190" spans="1:7" x14ac:dyDescent="0.35">
      <c r="A190" t="s">
        <v>810</v>
      </c>
      <c r="B190">
        <v>121</v>
      </c>
      <c r="C190">
        <v>121</v>
      </c>
      <c r="D190" s="2">
        <v>0.25</v>
      </c>
      <c r="E190" s="3">
        <v>2.9999999999999998E-25</v>
      </c>
      <c r="F190">
        <v>35.22</v>
      </c>
      <c r="G190" t="str">
        <f>HYPERLINK("https://www.ncbi.nlm.nih.gov/nucleotide/XM_003036760.2?report=genbank&amp;log$=nucltop&amp;blast_rank=85&amp;RID=1U84V0E4013","XM_003036760.2")</f>
        <v>XM_003036760.2</v>
      </c>
    </row>
    <row r="191" spans="1:7" x14ac:dyDescent="0.35">
      <c r="A191" t="s">
        <v>109</v>
      </c>
      <c r="B191">
        <v>114</v>
      </c>
      <c r="C191">
        <v>114</v>
      </c>
      <c r="D191" s="2">
        <v>0.25</v>
      </c>
      <c r="E191" s="3">
        <v>8.9999999999999995E-23</v>
      </c>
      <c r="F191">
        <v>35.06</v>
      </c>
      <c r="G191" t="str">
        <f>HYPERLINK("https://www.ncbi.nlm.nih.gov/nucleotide/XM_007864340.1?report=genbank&amp;log$=nucltop&amp;blast_rank=86&amp;RID=1U84V0E4013","XM_007864340.1")</f>
        <v>XM_007864340.1</v>
      </c>
    </row>
    <row r="192" spans="1:7" x14ac:dyDescent="0.35">
      <c r="A192" t="s">
        <v>187</v>
      </c>
      <c r="B192">
        <v>117</v>
      </c>
      <c r="C192">
        <v>117</v>
      </c>
      <c r="D192" s="2">
        <v>0.25</v>
      </c>
      <c r="E192" s="3">
        <v>5.9999999999999999E-24</v>
      </c>
      <c r="F192">
        <v>35.03</v>
      </c>
      <c r="G192" t="str">
        <f>HYPERLINK("https://www.ncbi.nlm.nih.gov/nucleotide/XM_027754401.1?report=genbank&amp;log$=nucltop&amp;blast_rank=87&amp;RID=1U84V0E4013","XM_027754401.1")</f>
        <v>XM_027754401.1</v>
      </c>
    </row>
    <row r="193" spans="1:7" x14ac:dyDescent="0.35">
      <c r="A193" t="s">
        <v>184</v>
      </c>
      <c r="B193">
        <v>114</v>
      </c>
      <c r="C193">
        <v>114</v>
      </c>
      <c r="D193" s="2">
        <v>0.26</v>
      </c>
      <c r="E193" s="3">
        <v>7.9999999999999997E-23</v>
      </c>
      <c r="F193">
        <v>34.909999999999997</v>
      </c>
      <c r="G193" t="str">
        <f>HYPERLINK("https://www.ncbi.nlm.nih.gov/nucleotide/XM_025508829.1?report=genbank&amp;log$=nucltop&amp;blast_rank=88&amp;RID=1U84V0E4013","XM_025508829.1")</f>
        <v>XM_025508829.1</v>
      </c>
    </row>
    <row r="194" spans="1:7" x14ac:dyDescent="0.35">
      <c r="A194" t="s">
        <v>194</v>
      </c>
      <c r="B194">
        <v>109</v>
      </c>
      <c r="C194">
        <v>109</v>
      </c>
      <c r="D194" s="2">
        <v>0.25</v>
      </c>
      <c r="E194" s="3">
        <v>1.9999999999999998E-21</v>
      </c>
      <c r="F194">
        <v>34.840000000000003</v>
      </c>
      <c r="G194" t="str">
        <f>HYPERLINK("https://www.ncbi.nlm.nih.gov/nucleotide/XM_007392158.1?report=genbank&amp;log$=nucltop&amp;blast_rank=89&amp;RID=1U84V0E4013","XM_007392158.1")</f>
        <v>XM_007392158.1</v>
      </c>
    </row>
    <row r="195" spans="1:7" x14ac:dyDescent="0.35">
      <c r="A195" t="s">
        <v>170</v>
      </c>
      <c r="B195">
        <v>121</v>
      </c>
      <c r="C195">
        <v>121</v>
      </c>
      <c r="D195" s="2">
        <v>0.3</v>
      </c>
      <c r="E195" s="3">
        <v>5.9999999999999995E-25</v>
      </c>
      <c r="F195">
        <v>34.76</v>
      </c>
      <c r="G195" t="str">
        <f>HYPERLINK("https://www.ncbi.nlm.nih.gov/nucleotide/XM_012333207.1?report=genbank&amp;log$=nucltop&amp;blast_rank=90&amp;RID=1U84V0E4013","XM_012333207.1")</f>
        <v>XM_012333207.1</v>
      </c>
    </row>
    <row r="196" spans="1:7" x14ac:dyDescent="0.35">
      <c r="A196" t="s">
        <v>188</v>
      </c>
      <c r="B196">
        <v>112</v>
      </c>
      <c r="C196">
        <v>112</v>
      </c>
      <c r="D196" s="2">
        <v>0.24</v>
      </c>
      <c r="E196" s="3">
        <v>7.0000000000000001E-22</v>
      </c>
      <c r="F196">
        <v>34.64</v>
      </c>
      <c r="G196" t="str">
        <f>HYPERLINK("https://www.ncbi.nlm.nih.gov/nucleotide/XM_025521795.1?report=genbank&amp;log$=nucltop&amp;blast_rank=91&amp;RID=1U84V0E4013","XM_025521795.1")</f>
        <v>XM_025521795.1</v>
      </c>
    </row>
    <row r="197" spans="1:7" x14ac:dyDescent="0.35">
      <c r="A197" t="s">
        <v>165</v>
      </c>
      <c r="B197">
        <v>119</v>
      </c>
      <c r="C197">
        <v>119</v>
      </c>
      <c r="D197" s="2">
        <v>0.3</v>
      </c>
      <c r="E197" s="3">
        <v>1.9999999999999998E-24</v>
      </c>
      <c r="F197">
        <v>34.619999999999997</v>
      </c>
      <c r="G197" t="str">
        <f>HYPERLINK("https://www.ncbi.nlm.nih.gov/nucleotide/XM_014798439.1?report=genbank&amp;log$=nucltop&amp;blast_rank=92&amp;RID=1U84V0E4013","XM_014798439.1")</f>
        <v>XM_014798439.1</v>
      </c>
    </row>
    <row r="198" spans="1:7" x14ac:dyDescent="0.35">
      <c r="A198" s="4" t="s">
        <v>820</v>
      </c>
      <c r="B198" s="4">
        <v>112</v>
      </c>
      <c r="C198" s="4">
        <v>112</v>
      </c>
      <c r="D198" s="5">
        <v>0.24</v>
      </c>
      <c r="E198" s="6">
        <v>2.0000000000000001E-22</v>
      </c>
      <c r="F198" s="4">
        <v>34.42</v>
      </c>
      <c r="G198" s="4" t="str">
        <f>HYPERLINK("https://www.ncbi.nlm.nih.gov/nucleotide/XM_002911188.1?report=genbank&amp;log$=nucltop&amp;blast_rank=93&amp;RID=1U84V0E4013","XM_002911188.1")</f>
        <v>XM_002911188.1</v>
      </c>
    </row>
    <row r="199" spans="1:7" x14ac:dyDescent="0.35">
      <c r="A199" t="s">
        <v>190</v>
      </c>
      <c r="B199">
        <v>122</v>
      </c>
      <c r="C199">
        <v>122</v>
      </c>
      <c r="D199" s="2">
        <v>0.3</v>
      </c>
      <c r="E199" s="3">
        <v>4.9999999999999996E-25</v>
      </c>
      <c r="F199">
        <v>34.409999999999997</v>
      </c>
      <c r="G199" t="str">
        <f>HYPERLINK("https://www.ncbi.nlm.nih.gov/nucleotide/HG529702.1?report=genbank&amp;log$=nucltop&amp;blast_rank=94&amp;RID=1U84V0E4013","HG529702.1")</f>
        <v>HG529702.1</v>
      </c>
    </row>
    <row r="200" spans="1:7" x14ac:dyDescent="0.35">
      <c r="A200" t="s">
        <v>21</v>
      </c>
      <c r="B200">
        <v>123</v>
      </c>
      <c r="C200">
        <v>123</v>
      </c>
      <c r="D200" s="2">
        <v>0.32</v>
      </c>
      <c r="E200" s="3">
        <v>1E-26</v>
      </c>
      <c r="F200">
        <v>34.340000000000003</v>
      </c>
      <c r="G200" t="str">
        <f>HYPERLINK("https://www.ncbi.nlm.nih.gov/nucleotide/XM_009545687.1?report=genbank&amp;log$=nucltop&amp;blast_rank=95&amp;RID=1U84V0E4013","XM_009545687.1")</f>
        <v>XM_009545687.1</v>
      </c>
    </row>
    <row r="201" spans="1:7" x14ac:dyDescent="0.35">
      <c r="A201" t="s">
        <v>192</v>
      </c>
      <c r="B201">
        <v>122</v>
      </c>
      <c r="C201">
        <v>122</v>
      </c>
      <c r="D201" s="2">
        <v>0.3</v>
      </c>
      <c r="E201" s="3">
        <v>5.9999999999999995E-25</v>
      </c>
      <c r="F201">
        <v>34.07</v>
      </c>
      <c r="G201" t="str">
        <f>HYPERLINK("https://www.ncbi.nlm.nih.gov/nucleotide/LT558139.1?report=genbank&amp;log$=nucltop&amp;blast_rank=96&amp;RID=1U84V0E4013","LT558139.1")</f>
        <v>LT558139.1</v>
      </c>
    </row>
    <row r="202" spans="1:7" x14ac:dyDescent="0.35">
      <c r="A202" t="s">
        <v>193</v>
      </c>
      <c r="B202">
        <v>97.1</v>
      </c>
      <c r="C202">
        <v>97.1</v>
      </c>
      <c r="D202" s="2">
        <v>0.25</v>
      </c>
      <c r="E202" s="3">
        <v>2E-19</v>
      </c>
      <c r="F202">
        <v>33.33</v>
      </c>
      <c r="G202" t="str">
        <f>HYPERLINK("https://www.ncbi.nlm.nih.gov/nucleotide/XM_025490272.1?report=genbank&amp;log$=nucltop&amp;blast_rank=97&amp;RID=1U84V0E4013","XM_025490272.1")</f>
        <v>XM_025490272.1</v>
      </c>
    </row>
    <row r="203" spans="1:7" x14ac:dyDescent="0.35">
      <c r="A203" t="s">
        <v>124</v>
      </c>
      <c r="B203">
        <v>130</v>
      </c>
      <c r="C203">
        <v>130</v>
      </c>
      <c r="D203" s="2">
        <v>0.49</v>
      </c>
      <c r="E203" s="3">
        <v>7.9999999999999998E-28</v>
      </c>
      <c r="F203">
        <v>33.090000000000003</v>
      </c>
      <c r="G203" t="str">
        <f>HYPERLINK("https://www.ncbi.nlm.nih.gov/nucleotide/XM_013384521.1?report=genbank&amp;log$=nucltop&amp;blast_rank=98&amp;RID=1U84V0E4013","XM_013384521.1")</f>
        <v>XM_013384521.1</v>
      </c>
    </row>
    <row r="204" spans="1:7" x14ac:dyDescent="0.35">
      <c r="A204" t="s">
        <v>189</v>
      </c>
      <c r="B204">
        <v>121</v>
      </c>
      <c r="C204">
        <v>121</v>
      </c>
      <c r="D204" s="2">
        <v>0.32</v>
      </c>
      <c r="E204" s="3">
        <v>7.0000000000000004E-25</v>
      </c>
      <c r="F204">
        <v>32.880000000000003</v>
      </c>
      <c r="G204" t="str">
        <f>HYPERLINK("https://www.ncbi.nlm.nih.gov/nucleotide/XM_007407308.1?report=genbank&amp;log$=nucltop&amp;blast_rank=99&amp;RID=1U84V0E4013","XM_007407308.1")</f>
        <v>XM_007407308.1</v>
      </c>
    </row>
    <row r="205" spans="1:7" x14ac:dyDescent="0.35">
      <c r="A205" t="s">
        <v>195</v>
      </c>
      <c r="B205">
        <v>102</v>
      </c>
      <c r="C205">
        <v>102</v>
      </c>
      <c r="D205" s="2">
        <v>0.31</v>
      </c>
      <c r="E205" s="3">
        <v>7.9999999999999998E-19</v>
      </c>
      <c r="F205">
        <v>32.32</v>
      </c>
      <c r="G205" t="str">
        <f>HYPERLINK("https://www.ncbi.nlm.nih.gov/nucleotide/XM_033708393.1?report=genbank&amp;log$=nucltop&amp;blast_rank=100&amp;RID=1U84V0E4013","XM_033708393.1")</f>
        <v>XM_033708393.1</v>
      </c>
    </row>
    <row r="206" spans="1:7" x14ac:dyDescent="0.35">
      <c r="A206" s="1" t="s">
        <v>1455</v>
      </c>
    </row>
    <row r="207" spans="1:7" x14ac:dyDescent="0.35">
      <c r="A207" s="1" t="s">
        <v>2</v>
      </c>
      <c r="B207" s="1" t="s">
        <v>3</v>
      </c>
      <c r="C207" s="1" t="s">
        <v>4</v>
      </c>
      <c r="D207" s="1" t="s">
        <v>5</v>
      </c>
      <c r="E207" s="1" t="s">
        <v>6</v>
      </c>
      <c r="F207" s="1" t="s">
        <v>7</v>
      </c>
      <c r="G207" s="1" t="s">
        <v>8</v>
      </c>
    </row>
    <row r="208" spans="1:7" x14ac:dyDescent="0.35">
      <c r="A208" t="s">
        <v>9</v>
      </c>
      <c r="B208">
        <v>313</v>
      </c>
      <c r="C208">
        <v>963</v>
      </c>
      <c r="D208" s="2">
        <v>0.99</v>
      </c>
      <c r="E208">
        <v>0</v>
      </c>
      <c r="F208">
        <v>90.18</v>
      </c>
      <c r="G208" t="str">
        <f>HYPERLINK("https://www.ncbi.nlm.nih.gov/nucleotide/LR732079.1?report=genbank&amp;log$=nucltop&amp;blast_rank=1&amp;RID=1U86BWWC013","LR732079.1")</f>
        <v>LR732079.1</v>
      </c>
    </row>
    <row r="209" spans="1:7" x14ac:dyDescent="0.35">
      <c r="A209" s="4" t="s">
        <v>10</v>
      </c>
      <c r="B209" s="4">
        <v>183</v>
      </c>
      <c r="C209" s="4">
        <v>183</v>
      </c>
      <c r="D209" s="5">
        <v>0.22</v>
      </c>
      <c r="E209" s="6">
        <v>4E-52</v>
      </c>
      <c r="F209" s="4">
        <v>72.569999999999993</v>
      </c>
      <c r="G209" s="4" t="str">
        <f>HYPERLINK("https://www.ncbi.nlm.nih.gov/nucleotide/AB551954.1?report=genbank&amp;log$=nucltop&amp;blast_rank=2&amp;RID=1U86BWWC013","AB551954.1")</f>
        <v>AB551954.1</v>
      </c>
    </row>
    <row r="210" spans="1:7" x14ac:dyDescent="0.35">
      <c r="A210" s="4" t="s">
        <v>11</v>
      </c>
      <c r="B210" s="4">
        <v>623</v>
      </c>
      <c r="C210" s="4">
        <v>623</v>
      </c>
      <c r="D210" s="5">
        <v>0.96</v>
      </c>
      <c r="E210" s="4">
        <v>0</v>
      </c>
      <c r="F210" s="4">
        <v>61.83</v>
      </c>
      <c r="G210" s="4" t="str">
        <f>HYPERLINK("https://www.ncbi.nlm.nih.gov/nucleotide/AB551982.1?report=genbank&amp;log$=nucltop&amp;blast_rank=3&amp;RID=1U86BWWC013","AB551982.1")</f>
        <v>AB551982.1</v>
      </c>
    </row>
    <row r="211" spans="1:7" x14ac:dyDescent="0.35">
      <c r="A211" t="s">
        <v>473</v>
      </c>
      <c r="B211">
        <v>397</v>
      </c>
      <c r="C211">
        <v>965</v>
      </c>
      <c r="D211" s="2">
        <v>0.93</v>
      </c>
      <c r="E211" s="3">
        <v>3.0000000000000002E-133</v>
      </c>
      <c r="F211">
        <v>61.69</v>
      </c>
      <c r="G211" t="str">
        <f>HYPERLINK("https://www.ncbi.nlm.nih.gov/nucleotide/CP068007.1?report=genbank&amp;log$=nucltop&amp;blast_rank=4&amp;RID=1U86BWWC013","CP068007.1")</f>
        <v>CP068007.1</v>
      </c>
    </row>
    <row r="212" spans="1:7" x14ac:dyDescent="0.35">
      <c r="A212" t="s">
        <v>12</v>
      </c>
      <c r="B212">
        <v>567</v>
      </c>
      <c r="C212">
        <v>567</v>
      </c>
      <c r="D212" s="2">
        <v>0.89</v>
      </c>
      <c r="E212">
        <v>0</v>
      </c>
      <c r="F212">
        <v>61.07</v>
      </c>
      <c r="G212" t="str">
        <f>HYPERLINK("https://www.ncbi.nlm.nih.gov/nucleotide/XM_036779060.1?report=genbank&amp;log$=nucltop&amp;blast_rank=5&amp;RID=1U86BWWC013","XM_036779060.1")</f>
        <v>XM_036779060.1</v>
      </c>
    </row>
    <row r="213" spans="1:7" x14ac:dyDescent="0.35">
      <c r="A213" t="s">
        <v>14</v>
      </c>
      <c r="B213">
        <v>601</v>
      </c>
      <c r="C213">
        <v>601</v>
      </c>
      <c r="D213" s="2">
        <v>0.96</v>
      </c>
      <c r="E213">
        <v>0</v>
      </c>
      <c r="F213">
        <v>59.47</v>
      </c>
      <c r="G213" t="str">
        <f>HYPERLINK("https://www.ncbi.nlm.nih.gov/nucleotide/XM_007330301.1?report=genbank&amp;log$=nucltop&amp;blast_rank=6&amp;RID=1U86BWWC013","XM_007330301.1")</f>
        <v>XM_007330301.1</v>
      </c>
    </row>
    <row r="214" spans="1:7" x14ac:dyDescent="0.35">
      <c r="A214" t="s">
        <v>15</v>
      </c>
      <c r="B214">
        <v>598</v>
      </c>
      <c r="C214">
        <v>598</v>
      </c>
      <c r="D214" s="2">
        <v>0.96</v>
      </c>
      <c r="E214">
        <v>0</v>
      </c>
      <c r="F214">
        <v>59.47</v>
      </c>
      <c r="G214" t="str">
        <f>HYPERLINK("https://www.ncbi.nlm.nih.gov/nucleotide/XM_006459161.1?report=genbank&amp;log$=nucltop&amp;blast_rank=7&amp;RID=1U86BWWC013","XM_006459161.1")</f>
        <v>XM_006459161.1</v>
      </c>
    </row>
    <row r="215" spans="1:7" x14ac:dyDescent="0.35">
      <c r="A215" t="s">
        <v>13</v>
      </c>
      <c r="B215">
        <v>574</v>
      </c>
      <c r="C215">
        <v>574</v>
      </c>
      <c r="D215" s="2">
        <v>0.95</v>
      </c>
      <c r="E215">
        <v>0</v>
      </c>
      <c r="F215">
        <v>58.71</v>
      </c>
      <c r="G215" t="str">
        <f>HYPERLINK("https://www.ncbi.nlm.nih.gov/nucleotide/XM_037359092.1?report=genbank&amp;log$=nucltop&amp;blast_rank=8&amp;RID=1U86BWWC013","XM_037359092.1")</f>
        <v>XM_037359092.1</v>
      </c>
    </row>
    <row r="216" spans="1:7" x14ac:dyDescent="0.35">
      <c r="A216" t="s">
        <v>16</v>
      </c>
      <c r="B216">
        <v>396</v>
      </c>
      <c r="C216">
        <v>982</v>
      </c>
      <c r="D216" s="2">
        <v>0.96</v>
      </c>
      <c r="E216" s="3">
        <v>2E-150</v>
      </c>
      <c r="F216">
        <v>58.04</v>
      </c>
      <c r="G216" t="str">
        <f>HYPERLINK("https://www.ncbi.nlm.nih.gov/nucleotide/CP039877.1?report=genbank&amp;log$=nucltop&amp;blast_rank=9&amp;RID=1U86BWWC013","CP039877.1")</f>
        <v>CP039877.1</v>
      </c>
    </row>
    <row r="217" spans="1:7" x14ac:dyDescent="0.35">
      <c r="A217" t="s">
        <v>17</v>
      </c>
      <c r="B217">
        <v>396</v>
      </c>
      <c r="C217">
        <v>982</v>
      </c>
      <c r="D217" s="2">
        <v>0.96</v>
      </c>
      <c r="E217" s="3">
        <v>2E-150</v>
      </c>
      <c r="F217">
        <v>58.04</v>
      </c>
      <c r="G217" t="str">
        <f>HYPERLINK("https://www.ncbi.nlm.nih.gov/nucleotide/CP015461.1?report=genbank&amp;log$=nucltop&amp;blast_rank=10&amp;RID=1U86BWWC013","CP015461.1")</f>
        <v>CP015461.1</v>
      </c>
    </row>
    <row r="218" spans="1:7" x14ac:dyDescent="0.35">
      <c r="A218" t="s">
        <v>18</v>
      </c>
      <c r="B218">
        <v>396</v>
      </c>
      <c r="C218">
        <v>982</v>
      </c>
      <c r="D218" s="2">
        <v>0.96</v>
      </c>
      <c r="E218" s="3">
        <v>2E-150</v>
      </c>
      <c r="F218">
        <v>58.04</v>
      </c>
      <c r="G218" t="str">
        <f>HYPERLINK("https://www.ncbi.nlm.nih.gov/nucleotide/CP015474.1?report=genbank&amp;log$=nucltop&amp;blast_rank=11&amp;RID=1U86BWWC013","CP015474.1")</f>
        <v>CP015474.1</v>
      </c>
    </row>
    <row r="219" spans="1:7" x14ac:dyDescent="0.35">
      <c r="A219" t="s">
        <v>19</v>
      </c>
      <c r="B219">
        <v>579</v>
      </c>
      <c r="C219">
        <v>579</v>
      </c>
      <c r="D219" s="2">
        <v>0.92</v>
      </c>
      <c r="E219">
        <v>0</v>
      </c>
      <c r="F219">
        <v>57.43</v>
      </c>
      <c r="G219" t="str">
        <f>HYPERLINK("https://www.ncbi.nlm.nih.gov/nucleotide/XM_001880889.1?report=genbank&amp;log$=nucltop&amp;blast_rank=12&amp;RID=1U86BWWC013","XM_001880889.1")</f>
        <v>XM_001880889.1</v>
      </c>
    </row>
    <row r="220" spans="1:7" x14ac:dyDescent="0.35">
      <c r="A220" s="4" t="s">
        <v>20</v>
      </c>
      <c r="B220" s="4">
        <v>177</v>
      </c>
      <c r="C220" s="4">
        <v>328</v>
      </c>
      <c r="D220" s="5">
        <v>0.83</v>
      </c>
      <c r="E220" s="6">
        <v>4E-79</v>
      </c>
      <c r="F220" s="4">
        <v>53.21</v>
      </c>
      <c r="G220" s="4" t="str">
        <f>HYPERLINK("https://www.ncbi.nlm.nih.gov/nucleotide/KJ999702.1?report=genbank&amp;log$=nucltop&amp;blast_rank=13&amp;RID=1U86BWWC013","KJ999702.1")</f>
        <v>KJ999702.1</v>
      </c>
    </row>
    <row r="221" spans="1:7" x14ac:dyDescent="0.35">
      <c r="A221" t="s">
        <v>21</v>
      </c>
      <c r="B221">
        <v>517</v>
      </c>
      <c r="C221">
        <v>517</v>
      </c>
      <c r="D221" s="2">
        <v>0.96</v>
      </c>
      <c r="E221" s="3">
        <v>4E-174</v>
      </c>
      <c r="F221">
        <v>51.5</v>
      </c>
      <c r="G221" t="str">
        <f>HYPERLINK("https://www.ncbi.nlm.nih.gov/nucleotide/XM_009546986.1?report=genbank&amp;log$=nucltop&amp;blast_rank=14&amp;RID=1U86BWWC013","XM_009546986.1")</f>
        <v>XM_009546986.1</v>
      </c>
    </row>
    <row r="222" spans="1:7" x14ac:dyDescent="0.35">
      <c r="A222" t="s">
        <v>22</v>
      </c>
      <c r="B222">
        <v>449</v>
      </c>
      <c r="C222">
        <v>449</v>
      </c>
      <c r="D222" s="2">
        <v>0.92</v>
      </c>
      <c r="E222" s="3">
        <v>6.0000000000000003E-150</v>
      </c>
      <c r="F222">
        <v>50.75</v>
      </c>
      <c r="G222" t="str">
        <f>HYPERLINK("https://www.ncbi.nlm.nih.gov/nucleotide/XM_001836369.2?report=genbank&amp;log$=nucltop&amp;blast_rank=15&amp;RID=1U86BWWC013","XM_001836369.2")</f>
        <v>XM_001836369.2</v>
      </c>
    </row>
    <row r="223" spans="1:7" x14ac:dyDescent="0.35">
      <c r="A223" t="s">
        <v>23</v>
      </c>
      <c r="B223">
        <v>431</v>
      </c>
      <c r="C223">
        <v>431</v>
      </c>
      <c r="D223" s="2">
        <v>0.95</v>
      </c>
      <c r="E223" s="3">
        <v>1E-139</v>
      </c>
      <c r="F223">
        <v>46.69</v>
      </c>
      <c r="G223" t="str">
        <f>HYPERLINK("https://www.ncbi.nlm.nih.gov/nucleotide/XM_007300021.1?report=genbank&amp;log$=nucltop&amp;blast_rank=16&amp;RID=1U86BWWC013","XM_007300021.1")</f>
        <v>XM_007300021.1</v>
      </c>
    </row>
    <row r="224" spans="1:7" x14ac:dyDescent="0.35">
      <c r="A224" t="s">
        <v>30</v>
      </c>
      <c r="B224">
        <v>186</v>
      </c>
      <c r="C224">
        <v>328</v>
      </c>
      <c r="D224" s="2">
        <v>0.8</v>
      </c>
      <c r="E224" s="3">
        <v>2E-79</v>
      </c>
      <c r="F224">
        <v>45.36</v>
      </c>
      <c r="G224" t="str">
        <f>HYPERLINK("https://www.ncbi.nlm.nih.gov/nucleotide/CP031825.1?report=genbank&amp;log$=nucltop&amp;blast_rank=17&amp;RID=1U86BWWC013","CP031825.1")</f>
        <v>CP031825.1</v>
      </c>
    </row>
    <row r="225" spans="1:7" x14ac:dyDescent="0.35">
      <c r="A225" t="s">
        <v>31</v>
      </c>
      <c r="B225">
        <v>186</v>
      </c>
      <c r="C225">
        <v>328</v>
      </c>
      <c r="D225" s="2">
        <v>0.8</v>
      </c>
      <c r="E225" s="3">
        <v>2E-79</v>
      </c>
      <c r="F225">
        <v>45.36</v>
      </c>
      <c r="G225" t="str">
        <f>HYPERLINK("https://www.ncbi.nlm.nih.gov/nucleotide/LK023313.1?report=genbank&amp;log$=nucltop&amp;blast_rank=18&amp;RID=1U86BWWC013","LK023313.1")</f>
        <v>LK023313.1</v>
      </c>
    </row>
    <row r="226" spans="1:7" x14ac:dyDescent="0.35">
      <c r="A226" t="s">
        <v>24</v>
      </c>
      <c r="B226">
        <v>431</v>
      </c>
      <c r="C226">
        <v>431</v>
      </c>
      <c r="D226" s="2">
        <v>0.96</v>
      </c>
      <c r="E226" s="3">
        <v>8.0000000000000003E-142</v>
      </c>
      <c r="F226">
        <v>44.83</v>
      </c>
      <c r="G226" t="str">
        <f>HYPERLINK("https://www.ncbi.nlm.nih.gov/nucleotide/XM_037359093.1?report=genbank&amp;log$=nucltop&amp;blast_rank=19&amp;RID=1U86BWWC013","XM_037359093.1")</f>
        <v>XM_037359093.1</v>
      </c>
    </row>
    <row r="227" spans="1:7" x14ac:dyDescent="0.35">
      <c r="A227" t="s">
        <v>25</v>
      </c>
      <c r="B227">
        <v>432</v>
      </c>
      <c r="C227">
        <v>432</v>
      </c>
      <c r="D227" s="2">
        <v>0.96</v>
      </c>
      <c r="E227" s="3">
        <v>1E-141</v>
      </c>
      <c r="F227">
        <v>44.62</v>
      </c>
      <c r="G227" t="str">
        <f>HYPERLINK("https://www.ncbi.nlm.nih.gov/nucleotide/XM_007330400.1?report=genbank&amp;log$=nucltop&amp;blast_rank=20&amp;RID=1U86BWWC013","XM_007330400.1")</f>
        <v>XM_007330400.1</v>
      </c>
    </row>
    <row r="228" spans="1:7" x14ac:dyDescent="0.35">
      <c r="A228" t="s">
        <v>26</v>
      </c>
      <c r="B228">
        <v>431</v>
      </c>
      <c r="C228">
        <v>431</v>
      </c>
      <c r="D228" s="2">
        <v>0.96</v>
      </c>
      <c r="E228" s="3">
        <v>2.9999999999999998E-141</v>
      </c>
      <c r="F228">
        <v>44.42</v>
      </c>
      <c r="G228" t="str">
        <f>HYPERLINK("https://www.ncbi.nlm.nih.gov/nucleotide/XM_006459162.1?report=genbank&amp;log$=nucltop&amp;blast_rank=21&amp;RID=1U86BWWC013","XM_006459162.1")</f>
        <v>XM_006459162.1</v>
      </c>
    </row>
    <row r="229" spans="1:7" x14ac:dyDescent="0.35">
      <c r="A229" t="s">
        <v>28</v>
      </c>
      <c r="B229">
        <v>173</v>
      </c>
      <c r="C229">
        <v>357</v>
      </c>
      <c r="D229" s="2">
        <v>0.95</v>
      </c>
      <c r="E229" s="3">
        <v>9.9999999999999996E-82</v>
      </c>
      <c r="F229">
        <v>43.92</v>
      </c>
      <c r="G229" t="str">
        <f>HYPERLINK("https://www.ncbi.nlm.nih.gov/nucleotide/LK023335.1?report=genbank&amp;log$=nucltop&amp;blast_rank=22&amp;RID=1U86BWWC013","LK023335.1")</f>
        <v>LK023335.1</v>
      </c>
    </row>
    <row r="230" spans="1:7" x14ac:dyDescent="0.35">
      <c r="A230" t="s">
        <v>27</v>
      </c>
      <c r="B230">
        <v>173</v>
      </c>
      <c r="C230">
        <v>315</v>
      </c>
      <c r="D230" s="2">
        <v>0.8</v>
      </c>
      <c r="E230" s="3">
        <v>2.9999999999999999E-75</v>
      </c>
      <c r="F230">
        <v>43.92</v>
      </c>
      <c r="G230" t="str">
        <f>HYPERLINK("https://www.ncbi.nlm.nih.gov/nucleotide/CP031830.1?report=genbank&amp;log$=nucltop&amp;blast_rank=23&amp;RID=1U86BWWC013","CP031830.1")</f>
        <v>CP031830.1</v>
      </c>
    </row>
    <row r="231" spans="1:7" x14ac:dyDescent="0.35">
      <c r="A231" t="s">
        <v>32</v>
      </c>
      <c r="B231">
        <v>411</v>
      </c>
      <c r="C231">
        <v>411</v>
      </c>
      <c r="D231" s="2">
        <v>0.96</v>
      </c>
      <c r="E231" s="3">
        <v>3E-131</v>
      </c>
      <c r="F231">
        <v>43.37</v>
      </c>
      <c r="G231" t="str">
        <f>HYPERLINK("https://www.ncbi.nlm.nih.gov/nucleotide/XM_018429091.1?report=genbank&amp;log$=nucltop&amp;blast_rank=24&amp;RID=1U86BWWC013","XM_018429091.1")</f>
        <v>XM_018429091.1</v>
      </c>
    </row>
    <row r="232" spans="1:7" x14ac:dyDescent="0.35">
      <c r="A232" t="s">
        <v>29</v>
      </c>
      <c r="B232">
        <v>432</v>
      </c>
      <c r="C232">
        <v>432</v>
      </c>
      <c r="D232" s="2">
        <v>0.97</v>
      </c>
      <c r="E232" s="3">
        <v>3.0000000000000001E-142</v>
      </c>
      <c r="F232">
        <v>43.06</v>
      </c>
      <c r="G232" t="str">
        <f>HYPERLINK("https://www.ncbi.nlm.nih.gov/nucleotide/XM_036779059.1?report=genbank&amp;log$=nucltop&amp;blast_rank=25&amp;RID=1U86BWWC013","XM_036779059.1")</f>
        <v>XM_036779059.1</v>
      </c>
    </row>
    <row r="233" spans="1:7" x14ac:dyDescent="0.35">
      <c r="A233" t="s">
        <v>21</v>
      </c>
      <c r="B233">
        <v>414</v>
      </c>
      <c r="C233">
        <v>414</v>
      </c>
      <c r="D233" s="2">
        <v>0.95</v>
      </c>
      <c r="E233" s="3">
        <v>3E-134</v>
      </c>
      <c r="F233">
        <v>42.3</v>
      </c>
      <c r="G233" t="str">
        <f>HYPERLINK("https://www.ncbi.nlm.nih.gov/nucleotide/XM_009546985.1?report=genbank&amp;log$=nucltop&amp;blast_rank=26&amp;RID=1U86BWWC013","XM_009546985.1")</f>
        <v>XM_009546985.1</v>
      </c>
    </row>
    <row r="234" spans="1:7" x14ac:dyDescent="0.35">
      <c r="A234" t="s">
        <v>33</v>
      </c>
      <c r="B234">
        <v>387</v>
      </c>
      <c r="C234">
        <v>387</v>
      </c>
      <c r="D234" s="2">
        <v>0.93</v>
      </c>
      <c r="E234" s="3">
        <v>7.9999999999999995E-124</v>
      </c>
      <c r="F234">
        <v>41.7</v>
      </c>
      <c r="G234" t="str">
        <f>HYPERLINK("https://www.ncbi.nlm.nih.gov/nucleotide/XM_007300020.1?report=genbank&amp;log$=nucltop&amp;blast_rank=27&amp;RID=1U86BWWC013","XM_007300020.1")</f>
        <v>XM_007300020.1</v>
      </c>
    </row>
    <row r="235" spans="1:7" x14ac:dyDescent="0.35">
      <c r="A235" t="s">
        <v>34</v>
      </c>
      <c r="B235">
        <v>392</v>
      </c>
      <c r="C235">
        <v>392</v>
      </c>
      <c r="D235" s="2">
        <v>0.92</v>
      </c>
      <c r="E235" s="3">
        <v>9.9999999999999995E-127</v>
      </c>
      <c r="F235">
        <v>41.61</v>
      </c>
      <c r="G235" t="str">
        <f>HYPERLINK("https://www.ncbi.nlm.nih.gov/nucleotide/XM_001836368.2?report=genbank&amp;log$=nucltop&amp;blast_rank=28&amp;RID=1U86BWWC013","XM_001836368.2")</f>
        <v>XM_001836368.2</v>
      </c>
    </row>
    <row r="236" spans="1:7" x14ac:dyDescent="0.35">
      <c r="A236" t="s">
        <v>37</v>
      </c>
      <c r="B236">
        <v>308</v>
      </c>
      <c r="C236">
        <v>308</v>
      </c>
      <c r="D236" s="2">
        <v>0.86</v>
      </c>
      <c r="E236" s="3">
        <v>2.9999999999999999E-88</v>
      </c>
      <c r="F236">
        <v>41.28</v>
      </c>
      <c r="G236" t="str">
        <f>HYPERLINK("https://www.ncbi.nlm.nih.gov/nucleotide/LR732085.1?report=genbank&amp;log$=nucltop&amp;blast_rank=29&amp;RID=1U86BWWC013","LR732085.1")</f>
        <v>LR732085.1</v>
      </c>
    </row>
    <row r="237" spans="1:7" x14ac:dyDescent="0.35">
      <c r="A237" t="s">
        <v>35</v>
      </c>
      <c r="B237">
        <v>386</v>
      </c>
      <c r="C237">
        <v>386</v>
      </c>
      <c r="D237" s="2">
        <v>0.95</v>
      </c>
      <c r="E237" s="3">
        <v>6E-124</v>
      </c>
      <c r="F237">
        <v>41.19</v>
      </c>
      <c r="G237" t="str">
        <f>HYPERLINK("https://www.ncbi.nlm.nih.gov/nucleotide/XM_023610462.1?report=genbank&amp;log$=nucltop&amp;blast_rank=30&amp;RID=1U86BWWC013","XM_023610462.1")</f>
        <v>XM_023610462.1</v>
      </c>
    </row>
    <row r="238" spans="1:7" x14ac:dyDescent="0.35">
      <c r="A238" t="s">
        <v>19</v>
      </c>
      <c r="B238">
        <v>397</v>
      </c>
      <c r="C238">
        <v>397</v>
      </c>
      <c r="D238" s="2">
        <v>0.96</v>
      </c>
      <c r="E238" s="3">
        <v>2.0000000000000001E-128</v>
      </c>
      <c r="F238">
        <v>41.09</v>
      </c>
      <c r="G238" t="str">
        <f>HYPERLINK("https://www.ncbi.nlm.nih.gov/nucleotide/XM_001880890.1?report=genbank&amp;log$=nucltop&amp;blast_rank=31&amp;RID=1U86BWWC013","XM_001880890.1")</f>
        <v>XM_001880890.1</v>
      </c>
    </row>
    <row r="239" spans="1:7" x14ac:dyDescent="0.35">
      <c r="A239" t="s">
        <v>39</v>
      </c>
      <c r="B239">
        <v>345</v>
      </c>
      <c r="C239">
        <v>345</v>
      </c>
      <c r="D239" s="2">
        <v>0.95</v>
      </c>
      <c r="E239" s="3">
        <v>5E-108</v>
      </c>
      <c r="F239">
        <v>40.119999999999997</v>
      </c>
      <c r="G239" t="str">
        <f>HYPERLINK("https://www.ncbi.nlm.nih.gov/nucleotide/XM_025316703.1?report=genbank&amp;log$=nucltop&amp;blast_rank=32&amp;RID=1U86BWWC013","XM_025316703.1")</f>
        <v>XM_025316703.1</v>
      </c>
    </row>
    <row r="240" spans="1:7" x14ac:dyDescent="0.35">
      <c r="A240" t="s">
        <v>38</v>
      </c>
      <c r="B240">
        <v>166</v>
      </c>
      <c r="C240">
        <v>166</v>
      </c>
      <c r="D240" s="2">
        <v>0.6</v>
      </c>
      <c r="E240" s="3">
        <v>3.0000000000000003E-42</v>
      </c>
      <c r="F240">
        <v>34.71</v>
      </c>
      <c r="G240" t="str">
        <f>HYPERLINK("https://www.ncbi.nlm.nih.gov/nucleotide/XM_001221435.1?report=genbank&amp;log$=nucltop&amp;blast_rank=33&amp;RID=1U86BWWC013","XM_001221435.1")</f>
        <v>XM_001221435.1</v>
      </c>
    </row>
    <row r="241" spans="1:7" x14ac:dyDescent="0.35">
      <c r="A241" t="s">
        <v>492</v>
      </c>
      <c r="B241">
        <v>90.5</v>
      </c>
      <c r="C241">
        <v>144</v>
      </c>
      <c r="D241" s="2">
        <v>0.81</v>
      </c>
      <c r="E241" s="3">
        <v>3E-24</v>
      </c>
      <c r="F241">
        <v>33.75</v>
      </c>
      <c r="G241" t="str">
        <f>HYPERLINK("https://www.ncbi.nlm.nih.gov/nucleotide/CP066506.1?report=genbank&amp;log$=nucltop&amp;blast_rank=34&amp;RID=1U86BWWC013","CP066506.1")</f>
        <v>CP066506.1</v>
      </c>
    </row>
    <row r="242" spans="1:7" x14ac:dyDescent="0.35">
      <c r="A242" t="s">
        <v>45</v>
      </c>
      <c r="B242">
        <v>202</v>
      </c>
      <c r="C242">
        <v>202</v>
      </c>
      <c r="D242" s="2">
        <v>0.87</v>
      </c>
      <c r="E242" s="3">
        <v>1E-54</v>
      </c>
      <c r="F242">
        <v>33.11</v>
      </c>
      <c r="G242" t="str">
        <f>HYPERLINK("https://www.ncbi.nlm.nih.gov/nucleotide/XM_007926421.1?report=genbank&amp;log$=nucltop&amp;blast_rank=35&amp;RID=1U86BWWC013","XM_007926421.1")</f>
        <v>XM_007926421.1</v>
      </c>
    </row>
    <row r="243" spans="1:7" x14ac:dyDescent="0.35">
      <c r="A243" t="s">
        <v>41</v>
      </c>
      <c r="B243">
        <v>182</v>
      </c>
      <c r="C243">
        <v>182</v>
      </c>
      <c r="D243" s="2">
        <v>0.88</v>
      </c>
      <c r="E243" s="3">
        <v>6.0000000000000003E-47</v>
      </c>
      <c r="F243">
        <v>32.69</v>
      </c>
      <c r="G243" t="str">
        <f>HYPERLINK("https://www.ncbi.nlm.nih.gov/nucleotide/XM_032045412.1?report=genbank&amp;log$=nucltop&amp;blast_rank=36&amp;RID=1U86BWWC013","XM_032045412.1")</f>
        <v>XM_032045412.1</v>
      </c>
    </row>
    <row r="244" spans="1:7" x14ac:dyDescent="0.35">
      <c r="A244" t="s">
        <v>85</v>
      </c>
      <c r="B244">
        <v>190</v>
      </c>
      <c r="C244">
        <v>190</v>
      </c>
      <c r="D244" s="2">
        <v>0.89</v>
      </c>
      <c r="E244" s="3">
        <v>6.9999999999999999E-50</v>
      </c>
      <c r="F244">
        <v>32.4</v>
      </c>
      <c r="G244" t="str">
        <f>HYPERLINK("https://www.ncbi.nlm.nih.gov/nucleotide/XM_002559523.1?report=genbank&amp;log$=nucltop&amp;blast_rank=37&amp;RID=1U86BWWC013","XM_002559523.1")</f>
        <v>XM_002559523.1</v>
      </c>
    </row>
    <row r="245" spans="1:7" x14ac:dyDescent="0.35">
      <c r="A245" t="s">
        <v>51</v>
      </c>
      <c r="B245">
        <v>186</v>
      </c>
      <c r="C245">
        <v>186</v>
      </c>
      <c r="D245" s="2">
        <v>0.83</v>
      </c>
      <c r="E245" s="3">
        <v>1.9999999999999999E-48</v>
      </c>
      <c r="F245">
        <v>32.33</v>
      </c>
      <c r="G245" t="str">
        <f>HYPERLINK("https://www.ncbi.nlm.nih.gov/nucleotide/XM_025528552.1?report=genbank&amp;log$=nucltop&amp;blast_rank=38&amp;RID=1U86BWWC013","XM_025528552.1")</f>
        <v>XM_025528552.1</v>
      </c>
    </row>
    <row r="246" spans="1:7" x14ac:dyDescent="0.35">
      <c r="A246" t="s">
        <v>48</v>
      </c>
      <c r="B246">
        <v>195</v>
      </c>
      <c r="C246">
        <v>195</v>
      </c>
      <c r="D246" s="2">
        <v>0.87</v>
      </c>
      <c r="E246" s="3">
        <v>2E-50</v>
      </c>
      <c r="F246">
        <v>32.29</v>
      </c>
      <c r="G246" t="str">
        <f>HYPERLINK("https://www.ncbi.nlm.nih.gov/nucleotide/XM_009499650.1?report=genbank&amp;log$=nucltop&amp;blast_rank=39&amp;RID=1U86BWWC013","XM_009499650.1")</f>
        <v>XM_009499650.1</v>
      </c>
    </row>
    <row r="247" spans="1:7" x14ac:dyDescent="0.35">
      <c r="A247" t="s">
        <v>491</v>
      </c>
      <c r="B247">
        <v>181</v>
      </c>
      <c r="C247">
        <v>181</v>
      </c>
      <c r="D247" s="2">
        <v>0.83</v>
      </c>
      <c r="E247" s="3">
        <v>1E-46</v>
      </c>
      <c r="F247">
        <v>32.270000000000003</v>
      </c>
      <c r="G247" t="str">
        <f>HYPERLINK("https://www.ncbi.nlm.nih.gov/nucleotide/XM_039068458.1?report=genbank&amp;log$=nucltop&amp;blast_rank=40&amp;RID=1U86BWWC013","XM_039068458.1")</f>
        <v>XM_039068458.1</v>
      </c>
    </row>
    <row r="248" spans="1:7" x14ac:dyDescent="0.35">
      <c r="A248" t="s">
        <v>56</v>
      </c>
      <c r="B248">
        <v>174</v>
      </c>
      <c r="C248">
        <v>174</v>
      </c>
      <c r="D248" s="2">
        <v>0.83</v>
      </c>
      <c r="E248" s="3">
        <v>1.9999999999999999E-44</v>
      </c>
      <c r="F248">
        <v>32.24</v>
      </c>
      <c r="G248" t="str">
        <f>HYPERLINK("https://www.ncbi.nlm.nih.gov/nucleotide/XM_024844676.1?report=genbank&amp;log$=nucltop&amp;blast_rank=41&amp;RID=1U86BWWC013","XM_024844676.1")</f>
        <v>XM_024844676.1</v>
      </c>
    </row>
    <row r="249" spans="1:7" x14ac:dyDescent="0.35">
      <c r="A249" t="s">
        <v>52</v>
      </c>
      <c r="B249">
        <v>139</v>
      </c>
      <c r="C249">
        <v>139</v>
      </c>
      <c r="D249" s="2">
        <v>0.66</v>
      </c>
      <c r="E249" s="3">
        <v>6.9999999999999997E-33</v>
      </c>
      <c r="F249">
        <v>32.14</v>
      </c>
      <c r="G249" t="str">
        <f>HYPERLINK("https://www.ncbi.nlm.nih.gov/nucleotide/XM_003857413.1?report=genbank&amp;log$=nucltop&amp;blast_rank=42&amp;RID=1U86BWWC013","XM_003857413.1")</f>
        <v>XM_003857413.1</v>
      </c>
    </row>
    <row r="250" spans="1:7" x14ac:dyDescent="0.35">
      <c r="A250" t="s">
        <v>69</v>
      </c>
      <c r="B250">
        <v>188</v>
      </c>
      <c r="C250">
        <v>188</v>
      </c>
      <c r="D250" s="2">
        <v>0.83</v>
      </c>
      <c r="E250" s="3">
        <v>7.0000000000000001E-49</v>
      </c>
      <c r="F250">
        <v>32.090000000000003</v>
      </c>
      <c r="G250" t="str">
        <f>HYPERLINK("https://www.ncbi.nlm.nih.gov/nucleotide/XM_001390712.2?report=genbank&amp;log$=nucltop&amp;blast_rank=43&amp;RID=1U86BWWC013","XM_001390712.2")</f>
        <v>XM_001390712.2</v>
      </c>
    </row>
    <row r="251" spans="1:7" x14ac:dyDescent="0.35">
      <c r="A251" t="s">
        <v>44</v>
      </c>
      <c r="B251">
        <v>171</v>
      </c>
      <c r="C251">
        <v>171</v>
      </c>
      <c r="D251" s="2">
        <v>0.77</v>
      </c>
      <c r="E251" s="3">
        <v>1.0000000000000001E-43</v>
      </c>
      <c r="F251">
        <v>31.91</v>
      </c>
      <c r="G251" t="str">
        <f>HYPERLINK("https://www.ncbi.nlm.nih.gov/nucleotide/XM_033572072.1?report=genbank&amp;log$=nucltop&amp;blast_rank=44&amp;RID=1U86BWWC013","XM_033572072.1")</f>
        <v>XM_033572072.1</v>
      </c>
    </row>
    <row r="252" spans="1:7" x14ac:dyDescent="0.35">
      <c r="A252" t="s">
        <v>42</v>
      </c>
      <c r="B252">
        <v>185</v>
      </c>
      <c r="C252">
        <v>185</v>
      </c>
      <c r="D252" s="2">
        <v>0.85</v>
      </c>
      <c r="E252" s="3">
        <v>7.9999999999999998E-48</v>
      </c>
      <c r="F252">
        <v>31.77</v>
      </c>
      <c r="G252" t="str">
        <f>HYPERLINK("https://www.ncbi.nlm.nih.gov/nucleotide/XM_015554209.1?report=genbank&amp;log$=nucltop&amp;blast_rank=45&amp;RID=1U86BWWC013","XM_015554209.1")</f>
        <v>XM_015554209.1</v>
      </c>
    </row>
    <row r="253" spans="1:7" x14ac:dyDescent="0.35">
      <c r="A253" t="s">
        <v>40</v>
      </c>
      <c r="B253">
        <v>191</v>
      </c>
      <c r="C253">
        <v>191</v>
      </c>
      <c r="D253" s="2">
        <v>0.86</v>
      </c>
      <c r="E253" s="3">
        <v>4E-50</v>
      </c>
      <c r="F253">
        <v>31.71</v>
      </c>
      <c r="G253" t="str">
        <f>HYPERLINK("https://www.ncbi.nlm.nih.gov/nucleotide/XM_022531473.1?report=genbank&amp;log$=nucltop&amp;blast_rank=46&amp;RID=1U86BWWC013","XM_022531473.1")</f>
        <v>XM_022531473.1</v>
      </c>
    </row>
    <row r="254" spans="1:7" x14ac:dyDescent="0.35">
      <c r="A254" t="s">
        <v>54</v>
      </c>
      <c r="B254">
        <v>142</v>
      </c>
      <c r="C254">
        <v>169</v>
      </c>
      <c r="D254" s="2">
        <v>0.79</v>
      </c>
      <c r="E254" s="3">
        <v>6.9999999999999997E-32</v>
      </c>
      <c r="F254">
        <v>31.64</v>
      </c>
      <c r="G254" t="str">
        <f>HYPERLINK("https://www.ncbi.nlm.nih.gov/nucleotide/LT853692.1?report=genbank&amp;log$=nucltop&amp;blast_rank=47&amp;RID=1U86BWWC013","LT853692.1")</f>
        <v>LT853692.1</v>
      </c>
    </row>
    <row r="255" spans="1:7" x14ac:dyDescent="0.35">
      <c r="A255" s="4" t="s">
        <v>65</v>
      </c>
      <c r="B255" s="4">
        <v>187</v>
      </c>
      <c r="C255" s="4">
        <v>187</v>
      </c>
      <c r="D255" s="5">
        <v>0.83</v>
      </c>
      <c r="E255" s="6">
        <v>9.9999999999999997E-49</v>
      </c>
      <c r="F255" s="4">
        <v>31.63</v>
      </c>
      <c r="G255" s="4" t="str">
        <f>HYPERLINK("https://www.ncbi.nlm.nih.gov/nucleotide/XM_026774556.1?report=genbank&amp;log$=nucltop&amp;blast_rank=48&amp;RID=1U86BWWC013","XM_026774556.1")</f>
        <v>XM_026774556.1</v>
      </c>
    </row>
    <row r="256" spans="1:7" x14ac:dyDescent="0.35">
      <c r="A256" s="4" t="s">
        <v>47</v>
      </c>
      <c r="B256" s="4">
        <v>184</v>
      </c>
      <c r="C256" s="4">
        <v>184</v>
      </c>
      <c r="D256" s="5">
        <v>0.85</v>
      </c>
      <c r="E256" s="6">
        <v>9.9999999999999997E-48</v>
      </c>
      <c r="F256" s="4">
        <v>31.63</v>
      </c>
      <c r="G256" s="4" t="str">
        <f>HYPERLINK("https://www.ncbi.nlm.nih.gov/nucleotide/XM_032089869.1?report=genbank&amp;log$=nucltop&amp;blast_rank=49&amp;RID=1U86BWWC013","XM_032089869.1")</f>
        <v>XM_032089869.1</v>
      </c>
    </row>
    <row r="257" spans="1:7" x14ac:dyDescent="0.35">
      <c r="A257" s="4" t="s">
        <v>50</v>
      </c>
      <c r="B257" s="4">
        <v>196</v>
      </c>
      <c r="C257" s="4">
        <v>196</v>
      </c>
      <c r="D257" s="5">
        <v>0.85</v>
      </c>
      <c r="E257" s="6">
        <v>6E-52</v>
      </c>
      <c r="F257" s="4">
        <v>31.61</v>
      </c>
      <c r="G257" s="4" t="str">
        <f>HYPERLINK("https://www.ncbi.nlm.nih.gov/nucleotide/XM_032058508.1?report=genbank&amp;log$=nucltop&amp;blast_rank=50&amp;RID=1U86BWWC013","XM_032058508.1")</f>
        <v>XM_032058508.1</v>
      </c>
    </row>
    <row r="258" spans="1:7" x14ac:dyDescent="0.35">
      <c r="A258" t="s">
        <v>53</v>
      </c>
      <c r="B258">
        <v>180</v>
      </c>
      <c r="C258">
        <v>180</v>
      </c>
      <c r="D258" s="2">
        <v>0.83</v>
      </c>
      <c r="E258" s="3">
        <v>9.9999999999999998E-46</v>
      </c>
      <c r="F258">
        <v>31.48</v>
      </c>
      <c r="G258" t="str">
        <f>HYPERLINK("https://www.ncbi.nlm.nih.gov/nucleotide/XM_025704096.1?report=genbank&amp;log$=nucltop&amp;blast_rank=51&amp;RID=1U86BWWC013","XM_025704096.1")</f>
        <v>XM_025704096.1</v>
      </c>
    </row>
    <row r="259" spans="1:7" x14ac:dyDescent="0.35">
      <c r="A259" t="s">
        <v>43</v>
      </c>
      <c r="B259">
        <v>181</v>
      </c>
      <c r="C259">
        <v>181</v>
      </c>
      <c r="D259" s="2">
        <v>0.91</v>
      </c>
      <c r="E259" s="3">
        <v>9E-47</v>
      </c>
      <c r="F259">
        <v>31.37</v>
      </c>
      <c r="G259" t="str">
        <f>HYPERLINK("https://www.ncbi.nlm.nih.gov/nucleotide/XM_022549209.1?report=genbank&amp;log$=nucltop&amp;blast_rank=52&amp;RID=1U86BWWC013","XM_022549209.1")</f>
        <v>XM_022549209.1</v>
      </c>
    </row>
    <row r="260" spans="1:7" x14ac:dyDescent="0.35">
      <c r="A260" t="s">
        <v>57</v>
      </c>
      <c r="B260">
        <v>142</v>
      </c>
      <c r="C260">
        <v>171</v>
      </c>
      <c r="D260" s="2">
        <v>0.8</v>
      </c>
      <c r="E260" s="3">
        <v>2.0000000000000001E-32</v>
      </c>
      <c r="F260">
        <v>31.37</v>
      </c>
      <c r="G260" t="str">
        <f>HYPERLINK("https://www.ncbi.nlm.nih.gov/nucleotide/LT854253.1?report=genbank&amp;log$=nucltop&amp;blast_rank=53&amp;RID=1U86BWWC013","LT854253.1")</f>
        <v>LT854253.1</v>
      </c>
    </row>
    <row r="261" spans="1:7" x14ac:dyDescent="0.35">
      <c r="A261" t="s">
        <v>58</v>
      </c>
      <c r="B261">
        <v>141</v>
      </c>
      <c r="C261">
        <v>170</v>
      </c>
      <c r="D261" s="2">
        <v>0.8</v>
      </c>
      <c r="E261" s="3">
        <v>6.0000000000000001E-32</v>
      </c>
      <c r="F261">
        <v>31.37</v>
      </c>
      <c r="G261" t="str">
        <f>HYPERLINK("https://www.ncbi.nlm.nih.gov/nucleotide/LT854273.1?report=genbank&amp;log$=nucltop&amp;blast_rank=54&amp;RID=1U86BWWC013","LT854273.1")</f>
        <v>LT854273.1</v>
      </c>
    </row>
    <row r="262" spans="1:7" x14ac:dyDescent="0.35">
      <c r="A262" t="s">
        <v>59</v>
      </c>
      <c r="B262">
        <v>141</v>
      </c>
      <c r="C262">
        <v>170</v>
      </c>
      <c r="D262" s="2">
        <v>0.8</v>
      </c>
      <c r="E262" s="3">
        <v>6.0000000000000001E-32</v>
      </c>
      <c r="F262">
        <v>31.37</v>
      </c>
      <c r="G262" t="str">
        <f>HYPERLINK("https://www.ncbi.nlm.nih.gov/nucleotide/LT882676.1?report=genbank&amp;log$=nucltop&amp;blast_rank=55&amp;RID=1U86BWWC013","LT882676.1")</f>
        <v>LT882676.1</v>
      </c>
    </row>
    <row r="263" spans="1:7" x14ac:dyDescent="0.35">
      <c r="A263" s="4" t="s">
        <v>66</v>
      </c>
      <c r="B263" s="4">
        <v>160</v>
      </c>
      <c r="C263" s="4">
        <v>160</v>
      </c>
      <c r="D263" s="5">
        <v>0.83</v>
      </c>
      <c r="E263" s="6">
        <v>1.9999999999999999E-39</v>
      </c>
      <c r="F263" s="4">
        <v>31.29</v>
      </c>
      <c r="G263" s="4" t="str">
        <f>HYPERLINK("https://www.ncbi.nlm.nih.gov/nucleotide/XM_035498118.1?report=genbank&amp;log$=nucltop&amp;blast_rank=56&amp;RID=1U86BWWC013","XM_035498118.1")</f>
        <v>XM_035498118.1</v>
      </c>
    </row>
    <row r="264" spans="1:7" x14ac:dyDescent="0.35">
      <c r="A264" s="4" t="s">
        <v>55</v>
      </c>
      <c r="B264" s="4">
        <v>179</v>
      </c>
      <c r="C264" s="4">
        <v>179</v>
      </c>
      <c r="D264" s="5">
        <v>0.83</v>
      </c>
      <c r="E264" s="6">
        <v>9.9999999999999998E-46</v>
      </c>
      <c r="F264" s="4">
        <v>31.28</v>
      </c>
      <c r="G264" s="4" t="str">
        <f>HYPERLINK("https://www.ncbi.nlm.nih.gov/nucleotide/XM_032074407.1?report=genbank&amp;log$=nucltop&amp;blast_rank=57&amp;RID=1U86BWWC013","XM_032074407.1")</f>
        <v>XM_032074407.1</v>
      </c>
    </row>
    <row r="265" spans="1:7" x14ac:dyDescent="0.35">
      <c r="A265" s="4" t="s">
        <v>60</v>
      </c>
      <c r="B265" s="4">
        <v>171</v>
      </c>
      <c r="C265" s="4">
        <v>171</v>
      </c>
      <c r="D265" s="5">
        <v>0.83</v>
      </c>
      <c r="E265" s="6">
        <v>1E-42</v>
      </c>
      <c r="F265" s="4">
        <v>31.14</v>
      </c>
      <c r="G265" s="4" t="str">
        <f>HYPERLINK("https://www.ncbi.nlm.nih.gov/nucleotide/XM_035498527.1?report=genbank&amp;log$=nucltop&amp;blast_rank=58&amp;RID=1U86BWWC013","XM_035498527.1")</f>
        <v>XM_035498527.1</v>
      </c>
    </row>
    <row r="266" spans="1:7" x14ac:dyDescent="0.35">
      <c r="A266" t="s">
        <v>794</v>
      </c>
      <c r="B266">
        <v>175</v>
      </c>
      <c r="C266">
        <v>175</v>
      </c>
      <c r="D266" s="2">
        <v>0.81</v>
      </c>
      <c r="E266" s="3">
        <v>9.0000000000000005E-43</v>
      </c>
      <c r="F266">
        <v>30.97</v>
      </c>
      <c r="G266" t="str">
        <f>HYPERLINK("https://www.ncbi.nlm.nih.gov/nucleotide/AP024419.1?report=genbank&amp;log$=nucltop&amp;blast_rank=59&amp;RID=1U86BWWC013","AP024419.1")</f>
        <v>AP024419.1</v>
      </c>
    </row>
    <row r="267" spans="1:7" x14ac:dyDescent="0.35">
      <c r="A267" t="s">
        <v>795</v>
      </c>
      <c r="B267">
        <v>171</v>
      </c>
      <c r="C267">
        <v>171</v>
      </c>
      <c r="D267" s="2">
        <v>0.8</v>
      </c>
      <c r="E267" s="3">
        <v>2E-41</v>
      </c>
      <c r="F267">
        <v>30.94</v>
      </c>
      <c r="G267" t="str">
        <f>HYPERLINK("https://www.ncbi.nlm.nih.gov/nucleotide/AP024418.1?report=genbank&amp;log$=nucltop&amp;blast_rank=60&amp;RID=1U86BWWC013","AP024418.1")</f>
        <v>AP024418.1</v>
      </c>
    </row>
    <row r="268" spans="1:7" x14ac:dyDescent="0.35">
      <c r="A268" t="s">
        <v>49</v>
      </c>
      <c r="B268">
        <v>155</v>
      </c>
      <c r="C268">
        <v>155</v>
      </c>
      <c r="D268" s="2">
        <v>0.94</v>
      </c>
      <c r="E268" s="3">
        <v>4.0000000000000003E-37</v>
      </c>
      <c r="F268">
        <v>30.83</v>
      </c>
      <c r="G268" t="str">
        <f>HYPERLINK("https://www.ncbi.nlm.nih.gov/nucleotide/XM_001217916.1?report=genbank&amp;log$=nucltop&amp;blast_rank=61&amp;RID=1U86BWWC013","XM_001217916.1")</f>
        <v>XM_001217916.1</v>
      </c>
    </row>
    <row r="269" spans="1:7" x14ac:dyDescent="0.35">
      <c r="A269" t="s">
        <v>80</v>
      </c>
      <c r="B269">
        <v>170</v>
      </c>
      <c r="C269">
        <v>170</v>
      </c>
      <c r="D269" s="2">
        <v>0.83</v>
      </c>
      <c r="E269" s="3">
        <v>3.0000000000000003E-42</v>
      </c>
      <c r="F269">
        <v>30.8</v>
      </c>
      <c r="G269" t="str">
        <f>HYPERLINK("https://www.ncbi.nlm.nih.gov/nucleotide/XM_025662501.1?report=genbank&amp;log$=nucltop&amp;blast_rank=62&amp;RID=1U86BWWC013","XM_025662501.1")</f>
        <v>XM_025662501.1</v>
      </c>
    </row>
    <row r="270" spans="1:7" x14ac:dyDescent="0.35">
      <c r="A270" t="s">
        <v>61</v>
      </c>
      <c r="B270">
        <v>161</v>
      </c>
      <c r="C270">
        <v>161</v>
      </c>
      <c r="D270" s="2">
        <v>0.91</v>
      </c>
      <c r="E270" s="3">
        <v>3.0000000000000003E-39</v>
      </c>
      <c r="F270">
        <v>30.79</v>
      </c>
      <c r="G270" t="str">
        <f>HYPERLINK("https://www.ncbi.nlm.nih.gov/nucleotide/XM_024831712.1?report=genbank&amp;log$=nucltop&amp;blast_rank=63&amp;RID=1U86BWWC013","XM_024831712.1")</f>
        <v>XM_024831712.1</v>
      </c>
    </row>
    <row r="271" spans="1:7" x14ac:dyDescent="0.35">
      <c r="A271" t="s">
        <v>64</v>
      </c>
      <c r="B271">
        <v>145</v>
      </c>
      <c r="C271">
        <v>145</v>
      </c>
      <c r="D271" s="2">
        <v>0.84</v>
      </c>
      <c r="E271" s="3">
        <v>2.0000000000000001E-33</v>
      </c>
      <c r="F271">
        <v>30.39</v>
      </c>
      <c r="G271" t="str">
        <f>HYPERLINK("https://www.ncbi.nlm.nih.gov/nucleotide/XM_025524425.1?report=genbank&amp;log$=nucltop&amp;blast_rank=64&amp;RID=1U86BWWC013","XM_025524425.1")</f>
        <v>XM_025524425.1</v>
      </c>
    </row>
    <row r="272" spans="1:7" x14ac:dyDescent="0.35">
      <c r="A272" t="s">
        <v>69</v>
      </c>
      <c r="B272">
        <v>162</v>
      </c>
      <c r="C272">
        <v>162</v>
      </c>
      <c r="D272" s="2">
        <v>0.83</v>
      </c>
      <c r="E272" s="3">
        <v>7.0000000000000003E-40</v>
      </c>
      <c r="F272">
        <v>30.21</v>
      </c>
      <c r="G272" t="str">
        <f>HYPERLINK("https://www.ncbi.nlm.nih.gov/nucleotide/XM_001401884.2?report=genbank&amp;log$=nucltop&amp;blast_rank=65&amp;RID=1U86BWWC013","XM_001401884.2")</f>
        <v>XM_001401884.2</v>
      </c>
    </row>
    <row r="273" spans="1:7" x14ac:dyDescent="0.35">
      <c r="A273" t="s">
        <v>72</v>
      </c>
      <c r="B273">
        <v>161</v>
      </c>
      <c r="C273">
        <v>161</v>
      </c>
      <c r="D273" s="2">
        <v>0.83</v>
      </c>
      <c r="E273" s="3">
        <v>3.0000000000000003E-39</v>
      </c>
      <c r="F273">
        <v>30.21</v>
      </c>
      <c r="G273" t="str">
        <f>HYPERLINK("https://www.ncbi.nlm.nih.gov/nucleotide/XM_025601684.1?report=genbank&amp;log$=nucltop&amp;blast_rank=66&amp;RID=1U86BWWC013","XM_025601684.1")</f>
        <v>XM_025601684.1</v>
      </c>
    </row>
    <row r="274" spans="1:7" x14ac:dyDescent="0.35">
      <c r="A274" t="s">
        <v>77</v>
      </c>
      <c r="B274">
        <v>132</v>
      </c>
      <c r="C274">
        <v>132</v>
      </c>
      <c r="D274" s="2">
        <v>0.75</v>
      </c>
      <c r="E274" s="3">
        <v>7.9999999999999995E-29</v>
      </c>
      <c r="F274">
        <v>30.2</v>
      </c>
      <c r="G274" t="str">
        <f>HYPERLINK("https://www.ncbi.nlm.nih.gov/nucleotide/XM_025680603.1?report=genbank&amp;log$=nucltop&amp;blast_rank=67&amp;RID=1U86BWWC013","XM_025680603.1")</f>
        <v>XM_025680603.1</v>
      </c>
    </row>
    <row r="275" spans="1:7" x14ac:dyDescent="0.35">
      <c r="A275" t="s">
        <v>68</v>
      </c>
      <c r="B275">
        <v>145</v>
      </c>
      <c r="C275">
        <v>145</v>
      </c>
      <c r="D275" s="2">
        <v>0.73</v>
      </c>
      <c r="E275" s="3">
        <v>9.9999999999999993E-35</v>
      </c>
      <c r="F275">
        <v>30.15</v>
      </c>
      <c r="G275" t="str">
        <f>HYPERLINK("https://www.ncbi.nlm.nih.gov/nucleotide/XM_001262908.1?report=genbank&amp;log$=nucltop&amp;blast_rank=68&amp;RID=1U86BWWC013","XM_001262908.1")</f>
        <v>XM_001262908.1</v>
      </c>
    </row>
    <row r="276" spans="1:7" x14ac:dyDescent="0.35">
      <c r="A276" t="s">
        <v>86</v>
      </c>
      <c r="B276">
        <v>151</v>
      </c>
      <c r="C276">
        <v>182</v>
      </c>
      <c r="D276" s="2">
        <v>0.79</v>
      </c>
      <c r="E276" s="3">
        <v>7.9999999999999995E-36</v>
      </c>
      <c r="F276">
        <v>30.15</v>
      </c>
      <c r="G276" t="str">
        <f>HYPERLINK("https://www.ncbi.nlm.nih.gov/nucleotide/AM920428.1?report=genbank&amp;log$=nucltop&amp;blast_rank=69&amp;RID=1U86BWWC013","AM920428.1")</f>
        <v>AM920428.1</v>
      </c>
    </row>
    <row r="277" spans="1:7" x14ac:dyDescent="0.35">
      <c r="A277" t="s">
        <v>87</v>
      </c>
      <c r="B277">
        <v>141</v>
      </c>
      <c r="C277">
        <v>141</v>
      </c>
      <c r="D277" s="2">
        <v>0.73</v>
      </c>
      <c r="E277" s="3">
        <v>1.0000000000000001E-31</v>
      </c>
      <c r="F277">
        <v>29.92</v>
      </c>
      <c r="G277" t="str">
        <f>HYPERLINK("https://www.ncbi.nlm.nih.gov/nucleotide/XM_007819030.2?report=genbank&amp;log$=nucltop&amp;blast_rank=70&amp;RID=1U86BWWC013","XM_007819030.2")</f>
        <v>XM_007819030.2</v>
      </c>
    </row>
    <row r="278" spans="1:7" x14ac:dyDescent="0.35">
      <c r="A278" t="s">
        <v>84</v>
      </c>
      <c r="B278">
        <v>167</v>
      </c>
      <c r="C278">
        <v>167</v>
      </c>
      <c r="D278" s="2">
        <v>0.84</v>
      </c>
      <c r="E278" s="3">
        <v>1E-41</v>
      </c>
      <c r="F278">
        <v>29.75</v>
      </c>
      <c r="G278" t="str">
        <f>HYPERLINK("https://www.ncbi.nlm.nih.gov/nucleotide/XM_023599633.1?report=genbank&amp;log$=nucltop&amp;blast_rank=71&amp;RID=1U86BWWC013","XM_023599633.1")</f>
        <v>XM_023599633.1</v>
      </c>
    </row>
    <row r="279" spans="1:7" x14ac:dyDescent="0.35">
      <c r="A279" t="s">
        <v>743</v>
      </c>
      <c r="B279">
        <v>141</v>
      </c>
      <c r="C279">
        <v>141</v>
      </c>
      <c r="D279" s="2">
        <v>0.74</v>
      </c>
      <c r="E279" s="3">
        <v>2.0000000000000002E-31</v>
      </c>
      <c r="F279">
        <v>29.66</v>
      </c>
      <c r="G279" t="str">
        <f>HYPERLINK("https://www.ncbi.nlm.nih.gov/nucleotide/CP066504.1?report=genbank&amp;log$=nucltop&amp;blast_rank=72&amp;RID=1U86BWWC013","CP066504.1")</f>
        <v>CP066504.1</v>
      </c>
    </row>
    <row r="280" spans="1:7" x14ac:dyDescent="0.35">
      <c r="A280" t="s">
        <v>90</v>
      </c>
      <c r="B280">
        <v>163</v>
      </c>
      <c r="C280">
        <v>163</v>
      </c>
      <c r="D280" s="2">
        <v>0.83</v>
      </c>
      <c r="E280" s="3">
        <v>9.9999999999999993E-40</v>
      </c>
      <c r="F280">
        <v>29.65</v>
      </c>
      <c r="G280" t="str">
        <f>HYPERLINK("https://www.ncbi.nlm.nih.gov/nucleotide/XM_025683366.1?report=genbank&amp;log$=nucltop&amp;blast_rank=73&amp;RID=1U86BWWC013","XM_025683366.1")</f>
        <v>XM_025683366.1</v>
      </c>
    </row>
    <row r="281" spans="1:7" x14ac:dyDescent="0.35">
      <c r="A281" t="s">
        <v>71</v>
      </c>
      <c r="B281">
        <v>136</v>
      </c>
      <c r="C281">
        <v>136</v>
      </c>
      <c r="D281" s="2">
        <v>0.75</v>
      </c>
      <c r="E281" s="3">
        <v>2.9999999999999999E-30</v>
      </c>
      <c r="F281">
        <v>29.52</v>
      </c>
      <c r="G281" t="str">
        <f>HYPERLINK("https://www.ncbi.nlm.nih.gov/nucleotide/XM_025658697.1?report=genbank&amp;log$=nucltop&amp;blast_rank=74&amp;RID=1U86BWWC013","XM_025658697.1")</f>
        <v>XM_025658697.1</v>
      </c>
    </row>
    <row r="282" spans="1:7" x14ac:dyDescent="0.35">
      <c r="A282" t="s">
        <v>82</v>
      </c>
      <c r="B282">
        <v>124</v>
      </c>
      <c r="C282">
        <v>124</v>
      </c>
      <c r="D282" s="2">
        <v>0.77</v>
      </c>
      <c r="E282" s="3">
        <v>6.0000000000000002E-27</v>
      </c>
      <c r="F282">
        <v>28.86</v>
      </c>
      <c r="G282" t="str">
        <f>HYPERLINK("https://www.ncbi.nlm.nih.gov/nucleotide/XM_033601052.1?report=genbank&amp;log$=nucltop&amp;blast_rank=75&amp;RID=1U86BWWC013","XM_033601052.1")</f>
        <v>XM_033601052.1</v>
      </c>
    </row>
    <row r="283" spans="1:7" x14ac:dyDescent="0.35">
      <c r="A283" t="s">
        <v>81</v>
      </c>
      <c r="B283">
        <v>129</v>
      </c>
      <c r="C283">
        <v>129</v>
      </c>
      <c r="D283" s="2">
        <v>0.8</v>
      </c>
      <c r="E283" s="3">
        <v>1.9999999999999999E-28</v>
      </c>
      <c r="F283">
        <v>28.85</v>
      </c>
      <c r="G283" t="str">
        <f>HYPERLINK("https://www.ncbi.nlm.nih.gov/nucleotide/XM_011327711.1?report=genbank&amp;log$=nucltop&amp;blast_rank=76&amp;RID=1U86BWWC013","XM_011327711.1")</f>
        <v>XM_011327711.1</v>
      </c>
    </row>
    <row r="284" spans="1:7" x14ac:dyDescent="0.35">
      <c r="A284" t="s">
        <v>98</v>
      </c>
      <c r="B284">
        <v>138</v>
      </c>
      <c r="C284">
        <v>272</v>
      </c>
      <c r="D284" s="2">
        <v>0.91</v>
      </c>
      <c r="E284" s="3">
        <v>2.0000000000000002E-30</v>
      </c>
      <c r="F284">
        <v>28.84</v>
      </c>
      <c r="G284" t="str">
        <f>HYPERLINK("https://www.ncbi.nlm.nih.gov/nucleotide/XM_026749516.1?report=genbank&amp;log$=nucltop&amp;blast_rank=77&amp;RID=1U86BWWC013","XM_026749516.1")</f>
        <v>XM_026749516.1</v>
      </c>
    </row>
    <row r="285" spans="1:7" x14ac:dyDescent="0.35">
      <c r="A285" t="s">
        <v>79</v>
      </c>
      <c r="B285">
        <v>164</v>
      </c>
      <c r="C285">
        <v>164</v>
      </c>
      <c r="D285" s="2">
        <v>0.76</v>
      </c>
      <c r="E285" s="3">
        <v>1.9999999999999999E-40</v>
      </c>
      <c r="F285">
        <v>28.82</v>
      </c>
      <c r="G285" t="str">
        <f>HYPERLINK("https://www.ncbi.nlm.nih.gov/nucleotide/XM_033553550.1?report=genbank&amp;log$=nucltop&amp;blast_rank=78&amp;RID=1U86BWWC013","XM_033553550.1")</f>
        <v>XM_033553550.1</v>
      </c>
    </row>
    <row r="286" spans="1:7" x14ac:dyDescent="0.35">
      <c r="A286" t="s">
        <v>78</v>
      </c>
      <c r="B286">
        <v>134</v>
      </c>
      <c r="C286">
        <v>134</v>
      </c>
      <c r="D286" s="2">
        <v>0.76</v>
      </c>
      <c r="E286" s="3">
        <v>8.0000000000000007E-31</v>
      </c>
      <c r="F286">
        <v>28.68</v>
      </c>
      <c r="G286" t="str">
        <f>HYPERLINK("https://www.ncbi.nlm.nih.gov/nucleotide/XM_001262909.1?report=genbank&amp;log$=nucltop&amp;blast_rank=79&amp;RID=1U86BWWC013","XM_001262909.1")</f>
        <v>XM_001262909.1</v>
      </c>
    </row>
    <row r="287" spans="1:7" x14ac:dyDescent="0.35">
      <c r="A287" t="s">
        <v>67</v>
      </c>
      <c r="B287">
        <v>120</v>
      </c>
      <c r="C287">
        <v>120</v>
      </c>
      <c r="D287" s="2">
        <v>0.64</v>
      </c>
      <c r="E287" s="3">
        <v>8.0000000000000003E-25</v>
      </c>
      <c r="F287">
        <v>28.33</v>
      </c>
      <c r="G287" t="str">
        <f>HYPERLINK("https://www.ncbi.nlm.nih.gov/nucleotide/XM_025589412.1?report=genbank&amp;log$=nucltop&amp;blast_rank=80&amp;RID=1U86BWWC013","XM_025589412.1")</f>
        <v>XM_025589412.1</v>
      </c>
    </row>
    <row r="288" spans="1:7" x14ac:dyDescent="0.35">
      <c r="A288" t="s">
        <v>76</v>
      </c>
      <c r="B288">
        <v>146</v>
      </c>
      <c r="C288">
        <v>146</v>
      </c>
      <c r="D288" s="2">
        <v>0.81</v>
      </c>
      <c r="E288" s="3">
        <v>6E-34</v>
      </c>
      <c r="F288">
        <v>28.13</v>
      </c>
      <c r="G288" t="str">
        <f>HYPERLINK("https://www.ncbi.nlm.nih.gov/nucleotide/XM_026762387.1?report=genbank&amp;log$=nucltop&amp;blast_rank=81&amp;RID=1U86BWWC013","XM_026762387.1")</f>
        <v>XM_026762387.1</v>
      </c>
    </row>
    <row r="289" spans="1:7" x14ac:dyDescent="0.35">
      <c r="A289" t="s">
        <v>91</v>
      </c>
      <c r="B289">
        <v>144</v>
      </c>
      <c r="C289">
        <v>144</v>
      </c>
      <c r="D289" s="2">
        <v>0.76</v>
      </c>
      <c r="E289" s="3">
        <v>3E-32</v>
      </c>
      <c r="F289">
        <v>28.11</v>
      </c>
      <c r="G289" t="str">
        <f>HYPERLINK("https://www.ncbi.nlm.nih.gov/nucleotide/CP051096.1?report=genbank&amp;log$=nucltop&amp;blast_rank=82&amp;RID=1U86BWWC013","CP051096.1")</f>
        <v>CP051096.1</v>
      </c>
    </row>
    <row r="290" spans="1:7" x14ac:dyDescent="0.35">
      <c r="A290" t="s">
        <v>92</v>
      </c>
      <c r="B290">
        <v>144</v>
      </c>
      <c r="C290">
        <v>144</v>
      </c>
      <c r="D290" s="2">
        <v>0.76</v>
      </c>
      <c r="E290" s="3">
        <v>3E-32</v>
      </c>
      <c r="F290">
        <v>28.11</v>
      </c>
      <c r="G290" t="str">
        <f>HYPERLINK("https://www.ncbi.nlm.nih.gov/nucleotide/CP051080.1?report=genbank&amp;log$=nucltop&amp;blast_rank=83&amp;RID=1U86BWWC013","CP051080.1")</f>
        <v>CP051080.1</v>
      </c>
    </row>
    <row r="291" spans="1:7" x14ac:dyDescent="0.35">
      <c r="A291" t="s">
        <v>93</v>
      </c>
      <c r="B291">
        <v>144</v>
      </c>
      <c r="C291">
        <v>144</v>
      </c>
      <c r="D291" s="2">
        <v>0.76</v>
      </c>
      <c r="E291" s="3">
        <v>3E-32</v>
      </c>
      <c r="F291">
        <v>28.11</v>
      </c>
      <c r="G291" t="str">
        <f>HYPERLINK("https://www.ncbi.nlm.nih.gov/nucleotide/CP051024.1?report=genbank&amp;log$=nucltop&amp;blast_rank=84&amp;RID=1U86BWWC013","CP051024.1")</f>
        <v>CP051024.1</v>
      </c>
    </row>
    <row r="292" spans="1:7" x14ac:dyDescent="0.35">
      <c r="A292" t="s">
        <v>94</v>
      </c>
      <c r="B292">
        <v>144</v>
      </c>
      <c r="C292">
        <v>144</v>
      </c>
      <c r="D292" s="2">
        <v>0.76</v>
      </c>
      <c r="E292" s="3">
        <v>3E-32</v>
      </c>
      <c r="F292">
        <v>28.11</v>
      </c>
      <c r="G292" t="str">
        <f>HYPERLINK("https://www.ncbi.nlm.nih.gov/nucleotide/CP051064.1?report=genbank&amp;log$=nucltop&amp;blast_rank=85&amp;RID=1U86BWWC013","CP051064.1")</f>
        <v>CP051064.1</v>
      </c>
    </row>
    <row r="293" spans="1:7" x14ac:dyDescent="0.35">
      <c r="A293" t="s">
        <v>95</v>
      </c>
      <c r="B293">
        <v>143</v>
      </c>
      <c r="C293">
        <v>143</v>
      </c>
      <c r="D293" s="2">
        <v>0.76</v>
      </c>
      <c r="E293" s="3">
        <v>3E-32</v>
      </c>
      <c r="F293">
        <v>28.11</v>
      </c>
      <c r="G293" t="str">
        <f>HYPERLINK("https://www.ncbi.nlm.nih.gov/nucleotide/CP051074.1?report=genbank&amp;log$=nucltop&amp;blast_rank=86&amp;RID=1U86BWWC013","CP051074.1")</f>
        <v>CP051074.1</v>
      </c>
    </row>
    <row r="294" spans="1:7" x14ac:dyDescent="0.35">
      <c r="A294" t="s">
        <v>88</v>
      </c>
      <c r="B294">
        <v>115</v>
      </c>
      <c r="C294">
        <v>115</v>
      </c>
      <c r="D294" s="2">
        <v>0.74</v>
      </c>
      <c r="E294" s="3">
        <v>1.9999999999999998E-24</v>
      </c>
      <c r="F294">
        <v>27.94</v>
      </c>
      <c r="G294" t="str">
        <f>HYPERLINK("https://www.ncbi.nlm.nih.gov/nucleotide/XM_032059862.1?report=genbank&amp;log$=nucltop&amp;blast_rank=87&amp;RID=1U86BWWC013","XM_032059862.1")</f>
        <v>XM_032059862.1</v>
      </c>
    </row>
    <row r="295" spans="1:7" x14ac:dyDescent="0.35">
      <c r="A295" t="s">
        <v>96</v>
      </c>
      <c r="B295">
        <v>132</v>
      </c>
      <c r="C295">
        <v>132</v>
      </c>
      <c r="D295" s="2">
        <v>0.83</v>
      </c>
      <c r="E295" s="3">
        <v>9.9999999999999997E-29</v>
      </c>
      <c r="F295">
        <v>27.82</v>
      </c>
      <c r="G295" t="str">
        <f>HYPERLINK("https://www.ncbi.nlm.nih.gov/nucleotide/XM_026772820.1?report=genbank&amp;log$=nucltop&amp;blast_rank=88&amp;RID=1U86BWWC013","XM_026772820.1")</f>
        <v>XM_026772820.1</v>
      </c>
    </row>
    <row r="296" spans="1:7" x14ac:dyDescent="0.35">
      <c r="A296" t="s">
        <v>70</v>
      </c>
      <c r="B296">
        <v>117</v>
      </c>
      <c r="C296">
        <v>117</v>
      </c>
      <c r="D296" s="2">
        <v>0.64</v>
      </c>
      <c r="E296" s="3">
        <v>6.9999999999999993E-24</v>
      </c>
      <c r="F296">
        <v>27.76</v>
      </c>
      <c r="G296" t="str">
        <f>HYPERLINK("https://www.ncbi.nlm.nih.gov/nucleotide/XM_020201213.1?report=genbank&amp;log$=nucltop&amp;blast_rank=89&amp;RID=1U86BWWC013","XM_020201213.1")</f>
        <v>XM_020201213.1</v>
      </c>
    </row>
    <row r="297" spans="1:7" x14ac:dyDescent="0.35">
      <c r="A297" t="s">
        <v>97</v>
      </c>
      <c r="B297">
        <v>142</v>
      </c>
      <c r="C297">
        <v>142</v>
      </c>
      <c r="D297" s="2">
        <v>0.81</v>
      </c>
      <c r="E297" s="3">
        <v>1.0000000000000001E-32</v>
      </c>
      <c r="F297">
        <v>27.66</v>
      </c>
      <c r="G297" t="str">
        <f>HYPERLINK("https://www.ncbi.nlm.nih.gov/nucleotide/XM_035484606.1?report=genbank&amp;log$=nucltop&amp;blast_rank=90&amp;RID=1U86BWWC013","XM_035484606.1")</f>
        <v>XM_035484606.1</v>
      </c>
    </row>
    <row r="298" spans="1:7" x14ac:dyDescent="0.35">
      <c r="A298" t="s">
        <v>62</v>
      </c>
      <c r="B298">
        <v>125</v>
      </c>
      <c r="C298">
        <v>125</v>
      </c>
      <c r="D298" s="2">
        <v>0.68</v>
      </c>
      <c r="E298" s="3">
        <v>9.0000000000000003E-27</v>
      </c>
      <c r="F298">
        <v>27.64</v>
      </c>
      <c r="G298" t="str">
        <f>HYPERLINK("https://www.ncbi.nlm.nih.gov/nucleotide/XM_025673733.1?report=genbank&amp;log$=nucltop&amp;blast_rank=91&amp;RID=1U86BWWC013","XM_025673733.1")</f>
        <v>XM_025673733.1</v>
      </c>
    </row>
    <row r="299" spans="1:7" x14ac:dyDescent="0.35">
      <c r="A299" t="s">
        <v>89</v>
      </c>
      <c r="B299">
        <v>141</v>
      </c>
      <c r="C299">
        <v>141</v>
      </c>
      <c r="D299" s="2">
        <v>0.81</v>
      </c>
      <c r="E299" s="3">
        <v>6.9999999999999997E-32</v>
      </c>
      <c r="F299">
        <v>27.53</v>
      </c>
      <c r="G299" t="str">
        <f>HYPERLINK("https://www.ncbi.nlm.nih.gov/nucleotide/XM_024828224.1?report=genbank&amp;log$=nucltop&amp;blast_rank=92&amp;RID=1U86BWWC013","XM_024828224.1")</f>
        <v>XM_024828224.1</v>
      </c>
    </row>
    <row r="300" spans="1:7" x14ac:dyDescent="0.35">
      <c r="A300" s="4" t="s">
        <v>99</v>
      </c>
      <c r="B300" s="4">
        <v>137</v>
      </c>
      <c r="C300" s="4">
        <v>137</v>
      </c>
      <c r="D300" s="5">
        <v>0.86</v>
      </c>
      <c r="E300" s="6">
        <v>4.0000000000000003E-30</v>
      </c>
      <c r="F300" s="4">
        <v>26.99</v>
      </c>
      <c r="G300" s="4" t="str">
        <f>HYPERLINK("https://www.ncbi.nlm.nih.gov/nucleotide/XM_014687487.1?report=genbank&amp;log$=nucltop&amp;blast_rank=93&amp;RID=1U86BWWC013","XM_014687487.1")</f>
        <v>XM_014687487.1</v>
      </c>
    </row>
    <row r="301" spans="1:7" x14ac:dyDescent="0.35">
      <c r="A301" t="s">
        <v>83</v>
      </c>
      <c r="B301">
        <v>125</v>
      </c>
      <c r="C301">
        <v>125</v>
      </c>
      <c r="D301" s="2">
        <v>0.94</v>
      </c>
      <c r="E301" s="3">
        <v>4.0000000000000002E-26</v>
      </c>
      <c r="F301">
        <v>26.65</v>
      </c>
      <c r="G301" t="str">
        <f>HYPERLINK("https://www.ncbi.nlm.nih.gov/nucleotide/LR699119.1?report=genbank&amp;log$=nucltop&amp;blast_rank=94&amp;RID=1U86BWWC013","LR699119.1")</f>
        <v>LR699119.1</v>
      </c>
    </row>
    <row r="302" spans="1:7" x14ac:dyDescent="0.35">
      <c r="A302" t="s">
        <v>101</v>
      </c>
      <c r="B302">
        <v>132</v>
      </c>
      <c r="C302">
        <v>132</v>
      </c>
      <c r="D302" s="2">
        <v>0.84</v>
      </c>
      <c r="E302" s="3">
        <v>9.9999999999999994E-30</v>
      </c>
      <c r="F302">
        <v>26.64</v>
      </c>
      <c r="G302" t="str">
        <f>HYPERLINK("https://www.ncbi.nlm.nih.gov/nucleotide/XM_023596533.1?report=genbank&amp;log$=nucltop&amp;blast_rank=95&amp;RID=1U86BWWC013","XM_023596533.1")</f>
        <v>XM_023596533.1</v>
      </c>
    </row>
    <row r="303" spans="1:7" x14ac:dyDescent="0.35">
      <c r="A303" t="s">
        <v>63</v>
      </c>
      <c r="B303">
        <v>126</v>
      </c>
      <c r="C303">
        <v>126</v>
      </c>
      <c r="D303" s="2">
        <v>0.68</v>
      </c>
      <c r="E303" s="3">
        <v>7.0000000000000003E-27</v>
      </c>
      <c r="F303">
        <v>26.56</v>
      </c>
      <c r="G303" t="str">
        <f>HYPERLINK("https://www.ncbi.nlm.nih.gov/nucleotide/XM_025640972.1?report=genbank&amp;log$=nucltop&amp;blast_rank=96&amp;RID=1U86BWWC013","XM_025640972.1")</f>
        <v>XM_025640972.1</v>
      </c>
    </row>
    <row r="304" spans="1:7" x14ac:dyDescent="0.35">
      <c r="A304" t="s">
        <v>100</v>
      </c>
      <c r="B304">
        <v>111</v>
      </c>
      <c r="C304">
        <v>111</v>
      </c>
      <c r="D304" s="2">
        <v>0.84</v>
      </c>
      <c r="E304" s="3">
        <v>2.0000000000000001E-22</v>
      </c>
      <c r="F304">
        <v>26.42</v>
      </c>
      <c r="G304" t="str">
        <f>HYPERLINK("https://www.ncbi.nlm.nih.gov/nucleotide/XM_033569058.1?report=genbank&amp;log$=nucltop&amp;blast_rank=97&amp;RID=1U86BWWC013","XM_033569058.1")</f>
        <v>XM_033569058.1</v>
      </c>
    </row>
    <row r="305" spans="1:7" x14ac:dyDescent="0.35">
      <c r="A305" t="s">
        <v>104</v>
      </c>
      <c r="B305">
        <v>107</v>
      </c>
      <c r="C305">
        <v>144</v>
      </c>
      <c r="D305" s="2">
        <v>0.8</v>
      </c>
      <c r="E305" s="3">
        <v>1.9999999999999998E-24</v>
      </c>
      <c r="F305">
        <v>26.27</v>
      </c>
      <c r="G305" t="str">
        <f>HYPERLINK("https://www.ncbi.nlm.nih.gov/nucleotide/CP036211.1?report=genbank&amp;log$=nucltop&amp;blast_rank=98&amp;RID=1U86BWWC013","CP036211.1")</f>
        <v>CP036211.1</v>
      </c>
    </row>
    <row r="306" spans="1:7" x14ac:dyDescent="0.35">
      <c r="A306" t="s">
        <v>102</v>
      </c>
      <c r="B306">
        <v>118</v>
      </c>
      <c r="C306">
        <v>147</v>
      </c>
      <c r="D306" s="2">
        <v>0.78</v>
      </c>
      <c r="E306" s="3">
        <v>2.9999999999999998E-25</v>
      </c>
      <c r="F306">
        <v>26.2</v>
      </c>
      <c r="G306" t="str">
        <f>HYPERLINK("https://www.ncbi.nlm.nih.gov/nucleotide/CP055898.1?report=genbank&amp;log$=nucltop&amp;blast_rank=99&amp;RID=1U86BWWC013","CP055898.1")</f>
        <v>CP055898.1</v>
      </c>
    </row>
    <row r="307" spans="1:7" x14ac:dyDescent="0.35">
      <c r="A307" t="s">
        <v>105</v>
      </c>
      <c r="B307">
        <v>130</v>
      </c>
      <c r="C307">
        <v>130</v>
      </c>
      <c r="D307" s="2">
        <v>0.93</v>
      </c>
      <c r="E307" s="3">
        <v>5.0000000000000002E-28</v>
      </c>
      <c r="F307">
        <v>25.65</v>
      </c>
      <c r="G307" t="str">
        <f>HYPERLINK("https://www.ncbi.nlm.nih.gov/nucleotide/XM_033555780.1?report=genbank&amp;log$=nucltop&amp;blast_rank=100&amp;RID=1U86BWWC013","XM_033555780.1")</f>
        <v>XM_033555780.1</v>
      </c>
    </row>
    <row r="308" spans="1:7" x14ac:dyDescent="0.35">
      <c r="A308" s="1" t="s">
        <v>1406</v>
      </c>
    </row>
    <row r="309" spans="1:7" x14ac:dyDescent="0.35">
      <c r="A309" s="1" t="s">
        <v>1456</v>
      </c>
    </row>
    <row r="310" spans="1:7" x14ac:dyDescent="0.35">
      <c r="A310" s="1" t="s">
        <v>2</v>
      </c>
      <c r="B310" s="1" t="s">
        <v>3</v>
      </c>
      <c r="C310" s="1" t="s">
        <v>4</v>
      </c>
      <c r="D310" s="1" t="s">
        <v>5</v>
      </c>
      <c r="E310" s="1" t="s">
        <v>6</v>
      </c>
      <c r="F310" s="1" t="s">
        <v>7</v>
      </c>
      <c r="G310" s="1" t="s">
        <v>8</v>
      </c>
    </row>
    <row r="311" spans="1:7" x14ac:dyDescent="0.35">
      <c r="A311" t="s">
        <v>37</v>
      </c>
      <c r="B311">
        <v>196</v>
      </c>
      <c r="C311">
        <v>615</v>
      </c>
      <c r="D311" s="2">
        <v>1</v>
      </c>
      <c r="E311" s="3">
        <v>3.0000000000000002E-76</v>
      </c>
      <c r="F311">
        <v>52.4</v>
      </c>
      <c r="G311" t="str">
        <f>HYPERLINK("https://www.ncbi.nlm.nih.gov/nucleotide/LR732085.1?report=genbank&amp;log$=nucltop&amp;blast_rank=1&amp;RID=1U880GPV013","LR732085.1")</f>
        <v>LR732085.1</v>
      </c>
    </row>
    <row r="312" spans="1:7" x14ac:dyDescent="0.35">
      <c r="A312" t="s">
        <v>1407</v>
      </c>
      <c r="B312">
        <v>127</v>
      </c>
      <c r="C312">
        <v>127</v>
      </c>
      <c r="D312" s="2">
        <v>0.56999999999999995</v>
      </c>
      <c r="E312" s="3">
        <v>5.0000000000000002E-28</v>
      </c>
      <c r="F312">
        <v>41.45</v>
      </c>
      <c r="G312" t="str">
        <f>HYPERLINK("https://www.ncbi.nlm.nih.gov/nucleotide/LR732082.1?report=genbank&amp;log$=nucltop&amp;blast_rank=2&amp;RID=1U880GPV013","LR732082.1")</f>
        <v>LR732082.1</v>
      </c>
    </row>
    <row r="313" spans="1:7" x14ac:dyDescent="0.35">
      <c r="A313" t="s">
        <v>1408</v>
      </c>
      <c r="B313">
        <v>45.8</v>
      </c>
      <c r="C313">
        <v>45.8</v>
      </c>
      <c r="D313" s="2">
        <v>0.18</v>
      </c>
      <c r="E313">
        <v>3.3000000000000002E-2</v>
      </c>
      <c r="F313">
        <v>38.81</v>
      </c>
      <c r="G313" t="str">
        <f>HYPERLINK("https://www.ncbi.nlm.nih.gov/nucleotide/XM_001839503.2?report=genbank&amp;log$=nucltop&amp;blast_rank=3&amp;RID=1U880GPV013","XM_001839503.2")</f>
        <v>XM_001839503.2</v>
      </c>
    </row>
    <row r="314" spans="1:7" x14ac:dyDescent="0.35">
      <c r="A314" t="s">
        <v>1409</v>
      </c>
      <c r="B314">
        <v>79.7</v>
      </c>
      <c r="C314">
        <v>79.7</v>
      </c>
      <c r="D314" s="2">
        <v>0.48</v>
      </c>
      <c r="E314" s="3">
        <v>9.9999999999999998E-13</v>
      </c>
      <c r="F314">
        <v>34.200000000000003</v>
      </c>
      <c r="G314" t="str">
        <f>HYPERLINK("https://www.ncbi.nlm.nih.gov/nucleotide/LR724078.1?report=genbank&amp;log$=nucltop&amp;blast_rank=4&amp;RID=1U880GPV013","LR724078.1")</f>
        <v>LR724078.1</v>
      </c>
    </row>
    <row r="315" spans="1:7" x14ac:dyDescent="0.35">
      <c r="A315" t="s">
        <v>1131</v>
      </c>
      <c r="B315">
        <v>48.5</v>
      </c>
      <c r="C315">
        <v>48.5</v>
      </c>
      <c r="D315" s="2">
        <v>0.27</v>
      </c>
      <c r="E315">
        <v>4.4999999999999998E-2</v>
      </c>
      <c r="F315">
        <v>33.67</v>
      </c>
      <c r="G315" t="str">
        <f>HYPERLINK("https://www.ncbi.nlm.nih.gov/nucleotide/LR732078.1?report=genbank&amp;log$=nucltop&amp;blast_rank=5&amp;RID=1U880GPV013","LR732078.1")</f>
        <v>LR732078.1</v>
      </c>
    </row>
    <row r="316" spans="1:7" x14ac:dyDescent="0.35">
      <c r="A316" t="s">
        <v>109</v>
      </c>
      <c r="B316">
        <v>82</v>
      </c>
      <c r="C316">
        <v>82</v>
      </c>
      <c r="D316" s="2">
        <v>0.45</v>
      </c>
      <c r="E316" s="3">
        <v>2.0000000000000001E-13</v>
      </c>
      <c r="F316">
        <v>33.520000000000003</v>
      </c>
      <c r="G316" t="str">
        <f>HYPERLINK("https://www.ncbi.nlm.nih.gov/nucleotide/XM_007871010.1?report=genbank&amp;log$=nucltop&amp;blast_rank=6&amp;RID=1U880GPV013","XM_007871010.1")</f>
        <v>XM_007871010.1</v>
      </c>
    </row>
    <row r="317" spans="1:7" x14ac:dyDescent="0.35">
      <c r="A317" t="s">
        <v>1410</v>
      </c>
      <c r="B317">
        <v>49.3</v>
      </c>
      <c r="C317">
        <v>49.3</v>
      </c>
      <c r="D317" s="2">
        <v>0.28999999999999998</v>
      </c>
      <c r="E317">
        <v>5.0000000000000001E-3</v>
      </c>
      <c r="F317">
        <v>32.74</v>
      </c>
      <c r="G317" t="str">
        <f>HYPERLINK("https://www.ncbi.nlm.nih.gov/nucleotide/XM_002910546.1?report=genbank&amp;log$=nucltop&amp;blast_rank=7&amp;RID=1U880GPV013","XM_002910546.1")</f>
        <v>XM_002910546.1</v>
      </c>
    </row>
    <row r="318" spans="1:7" x14ac:dyDescent="0.35">
      <c r="A318" t="s">
        <v>113</v>
      </c>
      <c r="B318">
        <v>104</v>
      </c>
      <c r="C318">
        <v>104</v>
      </c>
      <c r="D318" s="2">
        <v>0.83</v>
      </c>
      <c r="E318" s="3">
        <v>5.9999999999999998E-22</v>
      </c>
      <c r="F318">
        <v>32.65</v>
      </c>
      <c r="G318" t="str">
        <f>HYPERLINK("https://www.ncbi.nlm.nih.gov/nucleotide/XM_008043171.1?report=genbank&amp;log$=nucltop&amp;blast_rank=8&amp;RID=1U880GPV013","XM_008043171.1")</f>
        <v>XM_008043171.1</v>
      </c>
    </row>
    <row r="319" spans="1:7" x14ac:dyDescent="0.35">
      <c r="A319" t="s">
        <v>1411</v>
      </c>
      <c r="B319">
        <v>123</v>
      </c>
      <c r="C319">
        <v>123</v>
      </c>
      <c r="D319" s="2">
        <v>0.9</v>
      </c>
      <c r="E319" s="3">
        <v>3E-28</v>
      </c>
      <c r="F319">
        <v>32.14</v>
      </c>
      <c r="G319" t="str">
        <f>HYPERLINK("https://www.ncbi.nlm.nih.gov/nucleotide/XM_027763255.1?report=genbank&amp;log$=nucltop&amp;blast_rank=9&amp;RID=1U880GPV013","XM_027763255.1")</f>
        <v>XM_027763255.1</v>
      </c>
    </row>
    <row r="320" spans="1:7" x14ac:dyDescent="0.35">
      <c r="A320" t="s">
        <v>1412</v>
      </c>
      <c r="B320">
        <v>60.1</v>
      </c>
      <c r="C320">
        <v>60.1</v>
      </c>
      <c r="D320" s="2">
        <v>0.33</v>
      </c>
      <c r="E320" s="3">
        <v>3.0000000000000001E-6</v>
      </c>
      <c r="F320">
        <v>32.119999999999997</v>
      </c>
      <c r="G320" t="str">
        <f>HYPERLINK("https://www.ncbi.nlm.nih.gov/nucleotide/XM_002910537.1?report=genbank&amp;log$=nucltop&amp;blast_rank=10&amp;RID=1U880GPV013","XM_002910537.1")</f>
        <v>XM_002910537.1</v>
      </c>
    </row>
    <row r="321" spans="1:7" x14ac:dyDescent="0.35">
      <c r="A321" t="s">
        <v>1413</v>
      </c>
      <c r="B321">
        <v>59.7</v>
      </c>
      <c r="C321">
        <v>59.7</v>
      </c>
      <c r="D321" s="2">
        <v>0.31</v>
      </c>
      <c r="E321" s="3">
        <v>1.9999999999999999E-6</v>
      </c>
      <c r="F321">
        <v>32.090000000000003</v>
      </c>
      <c r="G321" t="str">
        <f>HYPERLINK("https://www.ncbi.nlm.nih.gov/nucleotide/XM_007403019.1?report=genbank&amp;log$=nucltop&amp;blast_rank=11&amp;RID=1U880GPV013","XM_007403019.1")</f>
        <v>XM_007403019.1</v>
      </c>
    </row>
    <row r="322" spans="1:7" x14ac:dyDescent="0.35">
      <c r="A322" t="s">
        <v>126</v>
      </c>
      <c r="B322">
        <v>72</v>
      </c>
      <c r="C322">
        <v>72</v>
      </c>
      <c r="D322" s="2">
        <v>0.6</v>
      </c>
      <c r="E322" s="3">
        <v>6.9999999999999996E-10</v>
      </c>
      <c r="F322">
        <v>31.8</v>
      </c>
      <c r="G322" t="str">
        <f>HYPERLINK("https://www.ncbi.nlm.nih.gov/nucleotide/XM_007774899.1?report=genbank&amp;log$=nucltop&amp;blast_rank=12&amp;RID=1U880GPV013","XM_007774899.1")</f>
        <v>XM_007774899.1</v>
      </c>
    </row>
    <row r="323" spans="1:7" x14ac:dyDescent="0.35">
      <c r="A323" t="s">
        <v>1414</v>
      </c>
      <c r="B323">
        <v>61.2</v>
      </c>
      <c r="C323">
        <v>61.2</v>
      </c>
      <c r="D323" s="2">
        <v>0.33</v>
      </c>
      <c r="E323" s="3">
        <v>1.9999999999999999E-7</v>
      </c>
      <c r="F323">
        <v>31.65</v>
      </c>
      <c r="G323" t="str">
        <f>HYPERLINK("https://www.ncbi.nlm.nih.gov/nucleotide/XM_007403400.1?report=genbank&amp;log$=nucltop&amp;blast_rank=13&amp;RID=1U880GPV013","XM_007403400.1")</f>
        <v>XM_007403400.1</v>
      </c>
    </row>
    <row r="324" spans="1:7" x14ac:dyDescent="0.35">
      <c r="A324" t="s">
        <v>1415</v>
      </c>
      <c r="B324">
        <v>70.099999999999994</v>
      </c>
      <c r="C324">
        <v>70.099999999999994</v>
      </c>
      <c r="D324" s="2">
        <v>0.59</v>
      </c>
      <c r="E324" s="3">
        <v>8.0000000000000003E-10</v>
      </c>
      <c r="F324">
        <v>31.53</v>
      </c>
      <c r="G324" t="str">
        <f>HYPERLINK("https://www.ncbi.nlm.nih.gov/nucleotide/XM_007319791.1?report=genbank&amp;log$=nucltop&amp;blast_rank=14&amp;RID=1U880GPV013","XM_007319791.1")</f>
        <v>XM_007319791.1</v>
      </c>
    </row>
    <row r="325" spans="1:7" x14ac:dyDescent="0.35">
      <c r="A325" t="s">
        <v>113</v>
      </c>
      <c r="B325">
        <v>87</v>
      </c>
      <c r="C325">
        <v>87</v>
      </c>
      <c r="D325" s="2">
        <v>0.57999999999999996</v>
      </c>
      <c r="E325" s="3">
        <v>7.0000000000000003E-16</v>
      </c>
      <c r="F325">
        <v>31.49</v>
      </c>
      <c r="G325" t="str">
        <f>HYPERLINK("https://www.ncbi.nlm.nih.gov/nucleotide/XM_008045917.1?report=genbank&amp;log$=nucltop&amp;blast_rank=15&amp;RID=1U880GPV013","XM_008045917.1")</f>
        <v>XM_008045917.1</v>
      </c>
    </row>
    <row r="326" spans="1:7" x14ac:dyDescent="0.35">
      <c r="A326" t="s">
        <v>1416</v>
      </c>
      <c r="B326">
        <v>77</v>
      </c>
      <c r="C326">
        <v>77</v>
      </c>
      <c r="D326" s="2">
        <v>0.56000000000000005</v>
      </c>
      <c r="E326" s="3">
        <v>3.9999999999999999E-12</v>
      </c>
      <c r="F326">
        <v>30.59</v>
      </c>
      <c r="G326" t="str">
        <f>HYPERLINK("https://www.ncbi.nlm.nih.gov/nucleotide/XM_007394903.1?report=genbank&amp;log$=nucltop&amp;blast_rank=16&amp;RID=1U880GPV013","XM_007394903.1")</f>
        <v>XM_007394903.1</v>
      </c>
    </row>
    <row r="327" spans="1:7" x14ac:dyDescent="0.35">
      <c r="A327" t="s">
        <v>177</v>
      </c>
      <c r="B327">
        <v>47</v>
      </c>
      <c r="C327">
        <v>47</v>
      </c>
      <c r="D327" s="2">
        <v>0.24</v>
      </c>
      <c r="E327">
        <v>1.9E-2</v>
      </c>
      <c r="F327">
        <v>30.56</v>
      </c>
      <c r="G327" t="str">
        <f>HYPERLINK("https://www.ncbi.nlm.nih.gov/nucleotide/XM_007774710.1?report=genbank&amp;log$=nucltop&amp;blast_rank=17&amp;RID=1U880GPV013","XM_007774710.1")</f>
        <v>XM_007774710.1</v>
      </c>
    </row>
    <row r="328" spans="1:7" x14ac:dyDescent="0.35">
      <c r="A328" t="s">
        <v>113</v>
      </c>
      <c r="B328">
        <v>93.6</v>
      </c>
      <c r="C328">
        <v>93.6</v>
      </c>
      <c r="D328" s="2">
        <v>0.79</v>
      </c>
      <c r="E328" s="3">
        <v>2.0000000000000001E-17</v>
      </c>
      <c r="F328">
        <v>30.39</v>
      </c>
      <c r="G328" t="str">
        <f>HYPERLINK("https://www.ncbi.nlm.nih.gov/nucleotide/XM_008044673.1?report=genbank&amp;log$=nucltop&amp;blast_rank=18&amp;RID=1U880GPV013","XM_008044673.1")</f>
        <v>XM_008044673.1</v>
      </c>
    </row>
    <row r="329" spans="1:7" x14ac:dyDescent="0.35">
      <c r="A329" t="s">
        <v>19</v>
      </c>
      <c r="B329">
        <v>79</v>
      </c>
      <c r="C329">
        <v>79</v>
      </c>
      <c r="D329" s="2">
        <v>0.56999999999999995</v>
      </c>
      <c r="E329" s="3">
        <v>9E-13</v>
      </c>
      <c r="F329">
        <v>30.36</v>
      </c>
      <c r="G329" t="str">
        <f>HYPERLINK("https://www.ncbi.nlm.nih.gov/nucleotide/XM_001881367.1?report=genbank&amp;log$=nucltop&amp;blast_rank=19&amp;RID=1U880GPV013","XM_001881367.1")</f>
        <v>XM_001881367.1</v>
      </c>
    </row>
    <row r="330" spans="1:7" x14ac:dyDescent="0.35">
      <c r="A330" t="s">
        <v>109</v>
      </c>
      <c r="B330">
        <v>80.5</v>
      </c>
      <c r="C330">
        <v>80.5</v>
      </c>
      <c r="D330" s="2">
        <v>0.59</v>
      </c>
      <c r="E330" s="3">
        <v>2.9999999999999998E-13</v>
      </c>
      <c r="F330">
        <v>30.13</v>
      </c>
      <c r="G330" t="str">
        <f>HYPERLINK("https://www.ncbi.nlm.nih.gov/nucleotide/XM_007866664.1?report=genbank&amp;log$=nucltop&amp;blast_rank=20&amp;RID=1U880GPV013","XM_007866664.1")</f>
        <v>XM_007866664.1</v>
      </c>
    </row>
    <row r="331" spans="1:7" x14ac:dyDescent="0.35">
      <c r="A331" t="s">
        <v>1417</v>
      </c>
      <c r="B331">
        <v>115</v>
      </c>
      <c r="C331">
        <v>115</v>
      </c>
      <c r="D331" s="2">
        <v>0.96</v>
      </c>
      <c r="E331" s="3">
        <v>2.0000000000000001E-25</v>
      </c>
      <c r="F331">
        <v>29.89</v>
      </c>
      <c r="G331" t="str">
        <f>HYPERLINK("https://www.ncbi.nlm.nih.gov/nucleotide/XM_007299785.1?report=genbank&amp;log$=nucltop&amp;blast_rank=21&amp;RID=1U880GPV013","XM_007299785.1")</f>
        <v>XM_007299785.1</v>
      </c>
    </row>
    <row r="332" spans="1:7" x14ac:dyDescent="0.35">
      <c r="A332" t="s">
        <v>1418</v>
      </c>
      <c r="B332">
        <v>97.4</v>
      </c>
      <c r="C332">
        <v>97.4</v>
      </c>
      <c r="D332" s="2">
        <v>0.9</v>
      </c>
      <c r="E332" s="3">
        <v>5.0000000000000004E-19</v>
      </c>
      <c r="F332">
        <v>29.87</v>
      </c>
      <c r="G332" t="str">
        <f>HYPERLINK("https://www.ncbi.nlm.nih.gov/nucleotide/XM_007315354.1?report=genbank&amp;log$=nucltop&amp;blast_rank=22&amp;RID=1U880GPV013","XM_007315354.1")</f>
        <v>XM_007315354.1</v>
      </c>
    </row>
    <row r="333" spans="1:7" x14ac:dyDescent="0.35">
      <c r="A333" s="4" t="s">
        <v>1419</v>
      </c>
      <c r="B333" s="4">
        <v>62.4</v>
      </c>
      <c r="C333" s="4">
        <v>62.4</v>
      </c>
      <c r="D333" s="5">
        <v>0.46</v>
      </c>
      <c r="E333" s="6">
        <v>3.9999999999999998E-7</v>
      </c>
      <c r="F333" s="4">
        <v>29.47</v>
      </c>
      <c r="G333" s="4" t="str">
        <f>HYPERLINK("https://www.ncbi.nlm.nih.gov/nucleotide/LR727824.1?report=genbank&amp;log$=nucltop&amp;blast_rank=23&amp;RID=1U880GPV013","LR727824.1")</f>
        <v>LR727824.1</v>
      </c>
    </row>
    <row r="334" spans="1:7" x14ac:dyDescent="0.35">
      <c r="A334" t="s">
        <v>198</v>
      </c>
      <c r="B334">
        <v>105</v>
      </c>
      <c r="C334">
        <v>105</v>
      </c>
      <c r="D334" s="2">
        <v>0.96</v>
      </c>
      <c r="E334" s="3">
        <v>8.0000000000000004E-22</v>
      </c>
      <c r="F334">
        <v>29.41</v>
      </c>
      <c r="G334" t="str">
        <f>HYPERLINK("https://www.ncbi.nlm.nih.gov/nucleotide/XM_007863201.1?report=genbank&amp;log$=nucltop&amp;blast_rank=24&amp;RID=1U880GPV013","XM_007863201.1")</f>
        <v>XM_007863201.1</v>
      </c>
    </row>
    <row r="335" spans="1:7" x14ac:dyDescent="0.35">
      <c r="A335" t="s">
        <v>1420</v>
      </c>
      <c r="B335">
        <v>79</v>
      </c>
      <c r="C335">
        <v>79</v>
      </c>
      <c r="D335" s="2">
        <v>0.53</v>
      </c>
      <c r="E335" s="3">
        <v>7.0000000000000005E-13</v>
      </c>
      <c r="F335">
        <v>29.25</v>
      </c>
      <c r="G335" t="str">
        <f>HYPERLINK("https://www.ncbi.nlm.nih.gov/nucleotide/XM_007366372.1?report=genbank&amp;log$=nucltop&amp;blast_rank=25&amp;RID=1U880GPV013","XM_007366372.1")</f>
        <v>XM_007366372.1</v>
      </c>
    </row>
    <row r="336" spans="1:7" x14ac:dyDescent="0.35">
      <c r="A336" t="s">
        <v>113</v>
      </c>
      <c r="B336">
        <v>71.2</v>
      </c>
      <c r="C336">
        <v>71.2</v>
      </c>
      <c r="D336" s="2">
        <v>0.53</v>
      </c>
      <c r="E336" s="3">
        <v>2.0000000000000001E-10</v>
      </c>
      <c r="F336">
        <v>29.19</v>
      </c>
      <c r="G336" t="str">
        <f>HYPERLINK("https://www.ncbi.nlm.nih.gov/nucleotide/XM_008046433.1?report=genbank&amp;log$=nucltop&amp;blast_rank=26&amp;RID=1U880GPV013","XM_008046433.1")</f>
        <v>XM_008046433.1</v>
      </c>
    </row>
    <row r="337" spans="1:7" x14ac:dyDescent="0.35">
      <c r="A337" t="s">
        <v>1421</v>
      </c>
      <c r="B337">
        <v>65.5</v>
      </c>
      <c r="C337">
        <v>65.5</v>
      </c>
      <c r="D337" s="2">
        <v>0.53</v>
      </c>
      <c r="E337" s="3">
        <v>9.9999999999999995E-8</v>
      </c>
      <c r="F337">
        <v>29.17</v>
      </c>
      <c r="G337" t="str">
        <f>HYPERLINK("https://www.ncbi.nlm.nih.gov/nucleotide/XM_007399411.1?report=genbank&amp;log$=nucltop&amp;blast_rank=27&amp;RID=1U880GPV013","XM_007399411.1")</f>
        <v>XM_007399411.1</v>
      </c>
    </row>
    <row r="338" spans="1:7" x14ac:dyDescent="0.35">
      <c r="A338" s="4" t="s">
        <v>1422</v>
      </c>
      <c r="B338" s="4">
        <v>55.1</v>
      </c>
      <c r="C338" s="4">
        <v>55.1</v>
      </c>
      <c r="D338" s="5">
        <v>0.48</v>
      </c>
      <c r="E338" s="6">
        <v>2.0000000000000001E-4</v>
      </c>
      <c r="F338" s="4">
        <v>28.8</v>
      </c>
      <c r="G338" s="4" t="str">
        <f>HYPERLINK("https://www.ncbi.nlm.nih.gov/nucleotide/LR723801.1?report=genbank&amp;log$=nucltop&amp;blast_rank=28&amp;RID=1U880GPV013","LR723801.1")</f>
        <v>LR723801.1</v>
      </c>
    </row>
    <row r="339" spans="1:7" x14ac:dyDescent="0.35">
      <c r="A339" t="s">
        <v>1423</v>
      </c>
      <c r="B339">
        <v>97.1</v>
      </c>
      <c r="C339">
        <v>97.1</v>
      </c>
      <c r="D339" s="2">
        <v>0.94</v>
      </c>
      <c r="E339" s="3">
        <v>1.0000000000000001E-18</v>
      </c>
      <c r="F339">
        <v>28.77</v>
      </c>
      <c r="G339" t="str">
        <f>HYPERLINK("https://www.ncbi.nlm.nih.gov/nucleotide/XM_039060963.1?report=genbank&amp;log$=nucltop&amp;blast_rank=29&amp;RID=1U880GPV013","XM_039060963.1")</f>
        <v>XM_039060963.1</v>
      </c>
    </row>
    <row r="340" spans="1:7" x14ac:dyDescent="0.35">
      <c r="A340" t="s">
        <v>1424</v>
      </c>
      <c r="B340">
        <v>94</v>
      </c>
      <c r="C340">
        <v>94</v>
      </c>
      <c r="D340" s="2">
        <v>0.83</v>
      </c>
      <c r="E340" s="3">
        <v>2.0000000000000001E-17</v>
      </c>
      <c r="F340">
        <v>28.53</v>
      </c>
      <c r="G340" t="str">
        <f>HYPERLINK("https://www.ncbi.nlm.nih.gov/nucleotide/XM_001832733.1?report=genbank&amp;log$=nucltop&amp;blast_rank=30&amp;RID=1U880GPV013","XM_001832733.1")</f>
        <v>XM_001832733.1</v>
      </c>
    </row>
    <row r="341" spans="1:7" x14ac:dyDescent="0.35">
      <c r="A341" t="s">
        <v>1425</v>
      </c>
      <c r="B341">
        <v>92.8</v>
      </c>
      <c r="C341">
        <v>92.8</v>
      </c>
      <c r="D341" s="2">
        <v>0.71</v>
      </c>
      <c r="E341" s="3">
        <v>8.0000000000000006E-17</v>
      </c>
      <c r="F341">
        <v>28.42</v>
      </c>
      <c r="G341" t="str">
        <f>HYPERLINK("https://www.ncbi.nlm.nih.gov/nucleotide/XM_007402877.1?report=genbank&amp;log$=nucltop&amp;blast_rank=31&amp;RID=1U880GPV013","XM_007402877.1")</f>
        <v>XM_007402877.1</v>
      </c>
    </row>
    <row r="342" spans="1:7" x14ac:dyDescent="0.35">
      <c r="A342" t="s">
        <v>1426</v>
      </c>
      <c r="B342">
        <v>92.4</v>
      </c>
      <c r="C342">
        <v>92.4</v>
      </c>
      <c r="D342" s="2">
        <v>0.8</v>
      </c>
      <c r="E342" s="3">
        <v>4.0000000000000003E-17</v>
      </c>
      <c r="F342">
        <v>28.25</v>
      </c>
      <c r="G342" t="str">
        <f>HYPERLINK("https://www.ncbi.nlm.nih.gov/nucleotide/XM_007371140.1?report=genbank&amp;log$=nucltop&amp;blast_rank=32&amp;RID=1U880GPV013","XM_007371140.1")</f>
        <v>XM_007371140.1</v>
      </c>
    </row>
    <row r="343" spans="1:7" x14ac:dyDescent="0.35">
      <c r="A343" s="4" t="s">
        <v>1427</v>
      </c>
      <c r="B343" s="4">
        <v>55.5</v>
      </c>
      <c r="C343" s="4">
        <v>55.5</v>
      </c>
      <c r="D343" s="5">
        <v>0.48</v>
      </c>
      <c r="E343" s="6">
        <v>2.0000000000000001E-4</v>
      </c>
      <c r="F343" s="4">
        <v>28.18</v>
      </c>
      <c r="G343" s="4" t="str">
        <f>HYPERLINK("https://www.ncbi.nlm.nih.gov/nucleotide/LR723793.1?report=genbank&amp;log$=nucltop&amp;blast_rank=33&amp;RID=1U880GPV013","LR723793.1")</f>
        <v>LR723793.1</v>
      </c>
    </row>
    <row r="344" spans="1:7" x14ac:dyDescent="0.35">
      <c r="A344" t="s">
        <v>1075</v>
      </c>
      <c r="B344">
        <v>67.400000000000006</v>
      </c>
      <c r="C344">
        <v>67.400000000000006</v>
      </c>
      <c r="D344" s="2">
        <v>0.53</v>
      </c>
      <c r="E344" s="3">
        <v>4.9999999999999998E-8</v>
      </c>
      <c r="F344">
        <v>28.02</v>
      </c>
      <c r="G344" t="str">
        <f>HYPERLINK("https://www.ncbi.nlm.nih.gov/nucleotide/LR732077.1?report=genbank&amp;log$=nucltop&amp;blast_rank=34&amp;RID=1U880GPV013","LR732077.1")</f>
        <v>LR732077.1</v>
      </c>
    </row>
    <row r="345" spans="1:7" x14ac:dyDescent="0.35">
      <c r="A345" t="s">
        <v>109</v>
      </c>
      <c r="B345">
        <v>93.6</v>
      </c>
      <c r="C345">
        <v>93.6</v>
      </c>
      <c r="D345" s="2">
        <v>0.84</v>
      </c>
      <c r="E345" s="3">
        <v>2.0000000000000001E-17</v>
      </c>
      <c r="F345">
        <v>27.95</v>
      </c>
      <c r="G345" t="str">
        <f>HYPERLINK("https://www.ncbi.nlm.nih.gov/nucleotide/XM_007866489.1?report=genbank&amp;log$=nucltop&amp;blast_rank=35&amp;RID=1U880GPV013","XM_007866489.1")</f>
        <v>XM_007866489.1</v>
      </c>
    </row>
    <row r="346" spans="1:7" x14ac:dyDescent="0.35">
      <c r="A346" t="s">
        <v>1428</v>
      </c>
      <c r="B346">
        <v>75.900000000000006</v>
      </c>
      <c r="C346">
        <v>75.900000000000006</v>
      </c>
      <c r="D346" s="2">
        <v>0.59</v>
      </c>
      <c r="E346" s="3">
        <v>6E-11</v>
      </c>
      <c r="F346">
        <v>27.88</v>
      </c>
      <c r="G346" t="str">
        <f>HYPERLINK("https://www.ncbi.nlm.nih.gov/nucleotide/XM_007314723.1?report=genbank&amp;log$=nucltop&amp;blast_rank=36&amp;RID=1U880GPV013","XM_007314723.1")</f>
        <v>XM_007314723.1</v>
      </c>
    </row>
    <row r="347" spans="1:7" x14ac:dyDescent="0.35">
      <c r="A347" t="s">
        <v>1429</v>
      </c>
      <c r="B347">
        <v>63.5</v>
      </c>
      <c r="C347">
        <v>63.5</v>
      </c>
      <c r="D347" s="2">
        <v>0.7</v>
      </c>
      <c r="E347" s="3">
        <v>1.9999999999999999E-7</v>
      </c>
      <c r="F347">
        <v>27.86</v>
      </c>
      <c r="G347" t="str">
        <f>HYPERLINK("https://www.ncbi.nlm.nih.gov/nucleotide/XM_036780783.1?report=genbank&amp;log$=nucltop&amp;blast_rank=37&amp;RID=1U880GPV013","XM_036780783.1")</f>
        <v>XM_036780783.1</v>
      </c>
    </row>
    <row r="348" spans="1:7" x14ac:dyDescent="0.35">
      <c r="A348" t="s">
        <v>1430</v>
      </c>
      <c r="B348">
        <v>78.599999999999994</v>
      </c>
      <c r="C348">
        <v>78.599999999999994</v>
      </c>
      <c r="D348" s="2">
        <v>0.72</v>
      </c>
      <c r="E348" s="3">
        <v>3.0000000000000001E-12</v>
      </c>
      <c r="F348">
        <v>27.72</v>
      </c>
      <c r="G348" t="str">
        <f>HYPERLINK("https://www.ncbi.nlm.nih.gov/nucleotide/XM_027762738.1?report=genbank&amp;log$=nucltop&amp;blast_rank=38&amp;RID=1U880GPV013","XM_027762738.1")</f>
        <v>XM_027762738.1</v>
      </c>
    </row>
    <row r="349" spans="1:7" x14ac:dyDescent="0.35">
      <c r="A349" t="s">
        <v>1431</v>
      </c>
      <c r="B349">
        <v>60.5</v>
      </c>
      <c r="C349">
        <v>60.5</v>
      </c>
      <c r="D349" s="2">
        <v>0.57999999999999996</v>
      </c>
      <c r="E349" s="3">
        <v>5.0000000000000004E-6</v>
      </c>
      <c r="F349">
        <v>27.66</v>
      </c>
      <c r="G349" t="str">
        <f>HYPERLINK("https://www.ncbi.nlm.nih.gov/nucleotide/XM_007395237.1?report=genbank&amp;log$=nucltop&amp;blast_rank=39&amp;RID=1U880GPV013","XM_007395237.1")</f>
        <v>XM_007395237.1</v>
      </c>
    </row>
    <row r="350" spans="1:7" x14ac:dyDescent="0.35">
      <c r="A350" t="s">
        <v>1432</v>
      </c>
      <c r="B350">
        <v>68.599999999999994</v>
      </c>
      <c r="C350">
        <v>68.599999999999994</v>
      </c>
      <c r="D350" s="2">
        <v>0.7</v>
      </c>
      <c r="E350" s="3">
        <v>6E-9</v>
      </c>
      <c r="F350">
        <v>27.44</v>
      </c>
      <c r="G350" t="str">
        <f>HYPERLINK("https://www.ncbi.nlm.nih.gov/nucleotide/XM_007395233.1?report=genbank&amp;log$=nucltop&amp;blast_rank=40&amp;RID=1U880GPV013","XM_007395233.1")</f>
        <v>XM_007395233.1</v>
      </c>
    </row>
    <row r="351" spans="1:7" x14ac:dyDescent="0.35">
      <c r="A351" t="s">
        <v>1433</v>
      </c>
      <c r="B351">
        <v>66.599999999999994</v>
      </c>
      <c r="C351">
        <v>66.599999999999994</v>
      </c>
      <c r="D351" s="2">
        <v>0.7</v>
      </c>
      <c r="E351" s="3">
        <v>2E-8</v>
      </c>
      <c r="F351">
        <v>27.44</v>
      </c>
      <c r="G351" t="str">
        <f>HYPERLINK("https://www.ncbi.nlm.nih.gov/nucleotide/LR725214.1?report=genbank&amp;log$=nucltop&amp;blast_rank=41&amp;RID=1U880GPV013","LR725214.1")</f>
        <v>LR725214.1</v>
      </c>
    </row>
    <row r="352" spans="1:7" x14ac:dyDescent="0.35">
      <c r="A352" t="s">
        <v>1434</v>
      </c>
      <c r="B352">
        <v>75.5</v>
      </c>
      <c r="C352">
        <v>75.5</v>
      </c>
      <c r="D352" s="2">
        <v>0.81</v>
      </c>
      <c r="E352" s="3">
        <v>6E-11</v>
      </c>
      <c r="F352">
        <v>27.19</v>
      </c>
      <c r="G352" t="str">
        <f>HYPERLINK("https://www.ncbi.nlm.nih.gov/nucleotide/XM_007398258.1?report=genbank&amp;log$=nucltop&amp;blast_rank=42&amp;RID=1U880GPV013","XM_007398258.1")</f>
        <v>XM_007398258.1</v>
      </c>
    </row>
    <row r="353" spans="1:7" x14ac:dyDescent="0.35">
      <c r="A353" t="s">
        <v>1435</v>
      </c>
      <c r="B353">
        <v>64.7</v>
      </c>
      <c r="C353">
        <v>64.7</v>
      </c>
      <c r="D353" s="2">
        <v>0.92</v>
      </c>
      <c r="E353" s="3">
        <v>1.9999999999999999E-7</v>
      </c>
      <c r="F353">
        <v>27.12</v>
      </c>
      <c r="G353" t="str">
        <f>HYPERLINK("https://www.ncbi.nlm.nih.gov/nucleotide/XM_039060180.1?report=genbank&amp;log$=nucltop&amp;blast_rank=43&amp;RID=1U880GPV013","XM_039060180.1")</f>
        <v>XM_039060180.1</v>
      </c>
    </row>
    <row r="354" spans="1:7" x14ac:dyDescent="0.35">
      <c r="A354" t="s">
        <v>1436</v>
      </c>
      <c r="B354">
        <v>57</v>
      </c>
      <c r="C354">
        <v>57</v>
      </c>
      <c r="D354" s="2">
        <v>0.56000000000000005</v>
      </c>
      <c r="E354" s="3">
        <v>6.0000000000000002E-5</v>
      </c>
      <c r="F354">
        <v>26.67</v>
      </c>
      <c r="G354" t="str">
        <f>HYPERLINK("https://www.ncbi.nlm.nih.gov/nucleotide/XM_007326131.1?report=genbank&amp;log$=nucltop&amp;blast_rank=44&amp;RID=1U880GPV013","XM_007326131.1")</f>
        <v>XM_007326131.1</v>
      </c>
    </row>
    <row r="355" spans="1:7" x14ac:dyDescent="0.35">
      <c r="A355" t="s">
        <v>19</v>
      </c>
      <c r="B355">
        <v>74.7</v>
      </c>
      <c r="C355">
        <v>74.7</v>
      </c>
      <c r="D355" s="2">
        <v>0.7</v>
      </c>
      <c r="E355" s="3">
        <v>5.0000000000000002E-11</v>
      </c>
      <c r="F355">
        <v>26.34</v>
      </c>
      <c r="G355" t="str">
        <f>HYPERLINK("https://www.ncbi.nlm.nih.gov/nucleotide/XM_001885033.1?report=genbank&amp;log$=nucltop&amp;blast_rank=45&amp;RID=1U880GPV013","XM_001885033.1")</f>
        <v>XM_001885033.1</v>
      </c>
    </row>
    <row r="356" spans="1:7" x14ac:dyDescent="0.35">
      <c r="A356" t="s">
        <v>1437</v>
      </c>
      <c r="B356">
        <v>55.1</v>
      </c>
      <c r="C356">
        <v>55.1</v>
      </c>
      <c r="D356" s="2">
        <v>0.54</v>
      </c>
      <c r="E356" s="3">
        <v>2.0000000000000001E-4</v>
      </c>
      <c r="F356">
        <v>26.27</v>
      </c>
      <c r="G356" t="str">
        <f>HYPERLINK("https://www.ncbi.nlm.nih.gov/nucleotide/XM_006456850.1?report=genbank&amp;log$=nucltop&amp;blast_rank=46&amp;RID=1U880GPV013","XM_006456850.1")</f>
        <v>XM_006456850.1</v>
      </c>
    </row>
    <row r="357" spans="1:7" x14ac:dyDescent="0.35">
      <c r="A357" t="s">
        <v>1438</v>
      </c>
      <c r="B357">
        <v>74.7</v>
      </c>
      <c r="C357">
        <v>74.7</v>
      </c>
      <c r="D357" s="2">
        <v>0.92</v>
      </c>
      <c r="E357" s="3">
        <v>1E-10</v>
      </c>
      <c r="F357">
        <v>26.02</v>
      </c>
      <c r="G357" t="str">
        <f>HYPERLINK("https://www.ncbi.nlm.nih.gov/nucleotide/XM_001840747.2?report=genbank&amp;log$=nucltop&amp;blast_rank=47&amp;RID=1U880GPV013","XM_001840747.2")</f>
        <v>XM_001840747.2</v>
      </c>
    </row>
    <row r="358" spans="1:7" x14ac:dyDescent="0.35">
      <c r="A358" t="s">
        <v>1439</v>
      </c>
      <c r="B358">
        <v>68.599999999999994</v>
      </c>
      <c r="C358">
        <v>68.599999999999994</v>
      </c>
      <c r="D358" s="2">
        <v>0.94</v>
      </c>
      <c r="E358" s="3">
        <v>6E-9</v>
      </c>
      <c r="F358">
        <v>25.86</v>
      </c>
      <c r="G358" t="str">
        <f>HYPERLINK("https://www.ncbi.nlm.nih.gov/nucleotide/XM_007322169.1?report=genbank&amp;log$=nucltop&amp;blast_rank=48&amp;RID=1U880GPV013","XM_007322169.1")</f>
        <v>XM_007322169.1</v>
      </c>
    </row>
    <row r="359" spans="1:7" x14ac:dyDescent="0.35">
      <c r="A359" t="s">
        <v>1440</v>
      </c>
      <c r="B359">
        <v>83.2</v>
      </c>
      <c r="C359">
        <v>83.2</v>
      </c>
      <c r="D359" s="2">
        <v>0.9</v>
      </c>
      <c r="E359" s="3">
        <v>8E-14</v>
      </c>
      <c r="F359">
        <v>25.48</v>
      </c>
      <c r="G359" t="str">
        <f>HYPERLINK("https://www.ncbi.nlm.nih.gov/nucleotide/XM_037365380.1?report=genbank&amp;log$=nucltop&amp;blast_rank=49&amp;RID=1U880GPV013","XM_037365380.1")</f>
        <v>XM_037365380.1</v>
      </c>
    </row>
    <row r="360" spans="1:7" x14ac:dyDescent="0.35">
      <c r="A360" t="s">
        <v>381</v>
      </c>
      <c r="B360">
        <v>50.8</v>
      </c>
      <c r="C360">
        <v>50.8</v>
      </c>
      <c r="D360" s="2">
        <v>0.56000000000000005</v>
      </c>
      <c r="E360">
        <v>0.01</v>
      </c>
      <c r="F360">
        <v>25.44</v>
      </c>
      <c r="G360" t="str">
        <f>HYPERLINK("https://www.ncbi.nlm.nih.gov/nucleotide/CP068008.1?report=genbank&amp;log$=nucltop&amp;blast_rank=50&amp;RID=1U880GPV013","CP068008.1")</f>
        <v>CP068008.1</v>
      </c>
    </row>
    <row r="361" spans="1:7" x14ac:dyDescent="0.35">
      <c r="A361" t="s">
        <v>1441</v>
      </c>
      <c r="B361">
        <v>89.7</v>
      </c>
      <c r="C361">
        <v>89.7</v>
      </c>
      <c r="D361" s="2">
        <v>0.92</v>
      </c>
      <c r="E361" s="3">
        <v>7.0000000000000003E-16</v>
      </c>
      <c r="F361">
        <v>25.21</v>
      </c>
      <c r="G361" t="str">
        <f>HYPERLINK("https://www.ncbi.nlm.nih.gov/nucleotide/XM_006458810.1?report=genbank&amp;log$=nucltop&amp;blast_rank=51&amp;RID=1U880GPV013","XM_006458810.1")</f>
        <v>XM_006458810.1</v>
      </c>
    </row>
    <row r="362" spans="1:7" x14ac:dyDescent="0.35">
      <c r="A362" t="s">
        <v>19</v>
      </c>
      <c r="B362">
        <v>65.5</v>
      </c>
      <c r="C362">
        <v>65.5</v>
      </c>
      <c r="D362" s="2">
        <v>0.69</v>
      </c>
      <c r="E362" s="3">
        <v>8.9999999999999999E-8</v>
      </c>
      <c r="F362">
        <v>25</v>
      </c>
      <c r="G362" t="str">
        <f>HYPERLINK("https://www.ncbi.nlm.nih.gov/nucleotide/XM_001888703.1?report=genbank&amp;log$=nucltop&amp;blast_rank=52&amp;RID=1U880GPV013","XM_001888703.1")</f>
        <v>XM_001888703.1</v>
      </c>
    </row>
    <row r="363" spans="1:7" x14ac:dyDescent="0.35">
      <c r="A363" t="s">
        <v>1442</v>
      </c>
      <c r="B363">
        <v>90.5</v>
      </c>
      <c r="C363">
        <v>90.5</v>
      </c>
      <c r="D363" s="2">
        <v>0.92</v>
      </c>
      <c r="E363" s="3">
        <v>3.9999999999999999E-16</v>
      </c>
      <c r="F363">
        <v>24.93</v>
      </c>
      <c r="G363" t="str">
        <f>HYPERLINK("https://www.ncbi.nlm.nih.gov/nucleotide/XM_007331229.1?report=genbank&amp;log$=nucltop&amp;blast_rank=53&amp;RID=1U880GPV013","XM_007331229.1")</f>
        <v>XM_007331229.1</v>
      </c>
    </row>
    <row r="364" spans="1:7" x14ac:dyDescent="0.35">
      <c r="A364" t="s">
        <v>177</v>
      </c>
      <c r="B364">
        <v>50.4</v>
      </c>
      <c r="C364">
        <v>50.4</v>
      </c>
      <c r="D364" s="2">
        <v>0.79</v>
      </c>
      <c r="E364">
        <v>6.0000000000000001E-3</v>
      </c>
      <c r="F364">
        <v>24.36</v>
      </c>
      <c r="G364" t="str">
        <f>HYPERLINK("https://www.ncbi.nlm.nih.gov/nucleotide/XM_007767910.1?report=genbank&amp;log$=nucltop&amp;blast_rank=54&amp;RID=1U880GPV013","XM_007767910.1")</f>
        <v>XM_007767910.1</v>
      </c>
    </row>
    <row r="365" spans="1:7" x14ac:dyDescent="0.35">
      <c r="A365" t="s">
        <v>1443</v>
      </c>
      <c r="B365">
        <v>73.900000000000006</v>
      </c>
      <c r="C365">
        <v>73.900000000000006</v>
      </c>
      <c r="D365" s="2">
        <v>0.96</v>
      </c>
      <c r="E365" s="3">
        <v>1E-10</v>
      </c>
      <c r="F365">
        <v>24.32</v>
      </c>
      <c r="G365" t="str">
        <f>HYPERLINK("https://www.ncbi.nlm.nih.gov/nucleotide/XM_027759754.1?report=genbank&amp;log$=nucltop&amp;blast_rank=55&amp;RID=1U880GPV013","XM_027759754.1")</f>
        <v>XM_027759754.1</v>
      </c>
    </row>
    <row r="366" spans="1:7" x14ac:dyDescent="0.35">
      <c r="A366" t="s">
        <v>1444</v>
      </c>
      <c r="B366">
        <v>53.5</v>
      </c>
      <c r="C366">
        <v>53.5</v>
      </c>
      <c r="D366" s="2">
        <v>0.91</v>
      </c>
      <c r="E366" s="3">
        <v>5.9999999999999995E-4</v>
      </c>
      <c r="F366">
        <v>24.3</v>
      </c>
      <c r="G366" t="str">
        <f>HYPERLINK("https://www.ncbi.nlm.nih.gov/nucleotide/XM_006458771.1?report=genbank&amp;log$=nucltop&amp;blast_rank=56&amp;RID=1U880GPV013","XM_006458771.1")</f>
        <v>XM_006458771.1</v>
      </c>
    </row>
    <row r="367" spans="1:7" x14ac:dyDescent="0.35">
      <c r="A367" t="s">
        <v>19</v>
      </c>
      <c r="B367">
        <v>58.2</v>
      </c>
      <c r="C367">
        <v>58.2</v>
      </c>
      <c r="D367" s="2">
        <v>0.59</v>
      </c>
      <c r="E367" s="3">
        <v>2.0000000000000002E-5</v>
      </c>
      <c r="F367">
        <v>24.27</v>
      </c>
      <c r="G367" t="str">
        <f>HYPERLINK("https://www.ncbi.nlm.nih.gov/nucleotide/XM_001888704.1?report=genbank&amp;log$=nucltop&amp;blast_rank=57&amp;RID=1U880GPV013","XM_001888704.1")</f>
        <v>XM_001888704.1</v>
      </c>
    </row>
    <row r="368" spans="1:7" x14ac:dyDescent="0.35">
      <c r="A368" t="s">
        <v>1445</v>
      </c>
      <c r="B368">
        <v>65.099999999999994</v>
      </c>
      <c r="C368">
        <v>65.099999999999994</v>
      </c>
      <c r="D368" s="2">
        <v>0.74</v>
      </c>
      <c r="E368" s="3">
        <v>9.9999999999999995E-8</v>
      </c>
      <c r="F368">
        <v>24.26</v>
      </c>
      <c r="G368" t="str">
        <f>HYPERLINK("https://www.ncbi.nlm.nih.gov/nucleotide/XM_003028390.2?report=genbank&amp;log$=nucltop&amp;blast_rank=58&amp;RID=1U880GPV013","XM_003028390.2")</f>
        <v>XM_003028390.2</v>
      </c>
    </row>
    <row r="369" spans="1:7" x14ac:dyDescent="0.35">
      <c r="A369" t="s">
        <v>120</v>
      </c>
      <c r="B369">
        <v>58.2</v>
      </c>
      <c r="C369">
        <v>58.2</v>
      </c>
      <c r="D369" s="2">
        <v>0.9</v>
      </c>
      <c r="E369" s="3">
        <v>1.0000000000000001E-5</v>
      </c>
      <c r="F369">
        <v>23.95</v>
      </c>
      <c r="G369" t="str">
        <f>HYPERLINK("https://www.ncbi.nlm.nih.gov/nucleotide/XM_012323729.1?report=genbank&amp;log$=nucltop&amp;blast_rank=59&amp;RID=1U880GPV013","XM_012323729.1")</f>
        <v>XM_012323729.1</v>
      </c>
    </row>
    <row r="370" spans="1:7" x14ac:dyDescent="0.35">
      <c r="A370" t="s">
        <v>120</v>
      </c>
      <c r="B370">
        <v>74.3</v>
      </c>
      <c r="C370">
        <v>74.3</v>
      </c>
      <c r="D370" s="2">
        <v>0.88</v>
      </c>
      <c r="E370" s="3">
        <v>7.9999999999999995E-11</v>
      </c>
      <c r="F370">
        <v>23.91</v>
      </c>
      <c r="G370" t="str">
        <f>HYPERLINK("https://www.ncbi.nlm.nih.gov/nucleotide/XM_012326366.1?report=genbank&amp;log$=nucltop&amp;blast_rank=60&amp;RID=1U880GPV013","XM_012326366.1")</f>
        <v>XM_012326366.1</v>
      </c>
    </row>
    <row r="371" spans="1:7" x14ac:dyDescent="0.35">
      <c r="A371" t="s">
        <v>1446</v>
      </c>
      <c r="B371">
        <v>86.3</v>
      </c>
      <c r="C371">
        <v>86.3</v>
      </c>
      <c r="D371" s="2">
        <v>0.91</v>
      </c>
      <c r="E371" s="3">
        <v>8.0000000000000006E-15</v>
      </c>
      <c r="F371">
        <v>23.84</v>
      </c>
      <c r="G371" t="str">
        <f>HYPERLINK("https://www.ncbi.nlm.nih.gov/nucleotide/XM_007331230.1?report=genbank&amp;log$=nucltop&amp;blast_rank=61&amp;RID=1U880GPV013","XM_007331230.1")</f>
        <v>XM_007331230.1</v>
      </c>
    </row>
    <row r="372" spans="1:7" x14ac:dyDescent="0.35">
      <c r="A372" t="s">
        <v>1447</v>
      </c>
      <c r="B372">
        <v>50.1</v>
      </c>
      <c r="C372">
        <v>50.1</v>
      </c>
      <c r="D372" s="2">
        <v>0.53</v>
      </c>
      <c r="E372">
        <v>6.0000000000000001E-3</v>
      </c>
      <c r="F372">
        <v>23.77</v>
      </c>
      <c r="G372" t="str">
        <f>HYPERLINK("https://www.ncbi.nlm.nih.gov/nucleotide/XM_027763092.1?report=genbank&amp;log$=nucltop&amp;blast_rank=62&amp;RID=1U880GPV013","XM_027763092.1")</f>
        <v>XM_027763092.1</v>
      </c>
    </row>
    <row r="373" spans="1:7" x14ac:dyDescent="0.35">
      <c r="A373" t="s">
        <v>1448</v>
      </c>
      <c r="B373">
        <v>80.5</v>
      </c>
      <c r="C373">
        <v>80.5</v>
      </c>
      <c r="D373" s="2">
        <v>0.93</v>
      </c>
      <c r="E373" s="3">
        <v>8.0000000000000002E-13</v>
      </c>
      <c r="F373">
        <v>23.73</v>
      </c>
      <c r="G373" t="str">
        <f>HYPERLINK("https://www.ncbi.nlm.nih.gov/nucleotide/XM_027763090.1?report=genbank&amp;log$=nucltop&amp;blast_rank=63&amp;RID=1U880GPV013","XM_027763090.1")</f>
        <v>XM_027763090.1</v>
      </c>
    </row>
    <row r="374" spans="1:7" x14ac:dyDescent="0.35">
      <c r="A374" t="s">
        <v>1449</v>
      </c>
      <c r="B374">
        <v>75.900000000000006</v>
      </c>
      <c r="C374">
        <v>75.900000000000006</v>
      </c>
      <c r="D374" s="2">
        <v>0.91</v>
      </c>
      <c r="E374" s="3">
        <v>1.9999999999999999E-11</v>
      </c>
      <c r="F374">
        <v>22.79</v>
      </c>
      <c r="G374" t="str">
        <f>HYPERLINK("https://www.ncbi.nlm.nih.gov/nucleotide/XM_006458812.1?report=genbank&amp;log$=nucltop&amp;blast_rank=64&amp;RID=1U880GPV013","XM_006458812.1")</f>
        <v>XM_006458812.1</v>
      </c>
    </row>
    <row r="375" spans="1:7" x14ac:dyDescent="0.35">
      <c r="A375" s="1" t="s">
        <v>1457</v>
      </c>
    </row>
    <row r="376" spans="1:7" x14ac:dyDescent="0.35">
      <c r="A376" s="1" t="s">
        <v>2</v>
      </c>
      <c r="B376" s="1" t="s">
        <v>3</v>
      </c>
      <c r="C376" s="1" t="s">
        <v>4</v>
      </c>
      <c r="D376" s="1" t="s">
        <v>5</v>
      </c>
      <c r="E376" s="1" t="s">
        <v>6</v>
      </c>
      <c r="F376" s="1" t="s">
        <v>7</v>
      </c>
      <c r="G376" s="1" t="s">
        <v>8</v>
      </c>
    </row>
    <row r="377" spans="1:7" x14ac:dyDescent="0.35">
      <c r="A377" t="s">
        <v>37</v>
      </c>
      <c r="B377">
        <v>213</v>
      </c>
      <c r="C377">
        <v>818</v>
      </c>
      <c r="D377" s="2">
        <v>0.63</v>
      </c>
      <c r="E377" s="3">
        <v>2E-90</v>
      </c>
      <c r="F377">
        <v>94.23</v>
      </c>
      <c r="G377" t="str">
        <f>HYPERLINK("https://www.ncbi.nlm.nih.gov/nucleotide/LR732085.1?report=genbank&amp;log$=nucltop&amp;blast_rank=1&amp;RID=1U89EUNR016","LR732085.1")</f>
        <v>LR732085.1</v>
      </c>
    </row>
    <row r="378" spans="1:7" x14ac:dyDescent="0.35">
      <c r="A378" t="s">
        <v>381</v>
      </c>
      <c r="B378">
        <v>145</v>
      </c>
      <c r="C378">
        <v>298</v>
      </c>
      <c r="D378" s="2">
        <v>0.5</v>
      </c>
      <c r="E378" s="3">
        <v>8.9999999999999998E-33</v>
      </c>
      <c r="F378">
        <v>63.21</v>
      </c>
      <c r="G378" t="str">
        <f>HYPERLINK("https://www.ncbi.nlm.nih.gov/nucleotide/CP068008.1?report=genbank&amp;log$=nucltop&amp;blast_rank=2&amp;RID=1U89EUNR016","CP068008.1")</f>
        <v>CP068008.1</v>
      </c>
    </row>
    <row r="379" spans="1:7" x14ac:dyDescent="0.35">
      <c r="A379" t="s">
        <v>388</v>
      </c>
      <c r="B379">
        <v>277</v>
      </c>
      <c r="C379">
        <v>277</v>
      </c>
      <c r="D379" s="2">
        <v>0.45</v>
      </c>
      <c r="E379" s="3">
        <v>6.9999999999999997E-82</v>
      </c>
      <c r="F379">
        <v>60.36</v>
      </c>
      <c r="G379" t="str">
        <f>HYPERLINK("https://www.ncbi.nlm.nih.gov/nucleotide/XM_003026031.1?report=genbank&amp;log$=nucltop&amp;blast_rank=3&amp;RID=1U89EUNR016","XM_003026031.1")</f>
        <v>XM_003026031.1</v>
      </c>
    </row>
    <row r="380" spans="1:7" x14ac:dyDescent="0.35">
      <c r="A380" t="s">
        <v>380</v>
      </c>
      <c r="B380">
        <v>142</v>
      </c>
      <c r="C380">
        <v>293</v>
      </c>
      <c r="D380" s="2">
        <v>0.4</v>
      </c>
      <c r="E380" s="3">
        <v>6.0000000000000001E-32</v>
      </c>
      <c r="F380">
        <v>59.09</v>
      </c>
      <c r="G380" t="str">
        <f>HYPERLINK("https://www.ncbi.nlm.nih.gov/nucleotide/AC277528.1?report=genbank&amp;log$=nucltop&amp;blast_rank=4&amp;RID=1U89EUNR016","AC277528.1")</f>
        <v>AC277528.1</v>
      </c>
    </row>
    <row r="381" spans="1:7" x14ac:dyDescent="0.35">
      <c r="A381" t="s">
        <v>389</v>
      </c>
      <c r="B381">
        <v>254</v>
      </c>
      <c r="C381">
        <v>254</v>
      </c>
      <c r="D381" s="2">
        <v>0.45</v>
      </c>
      <c r="E381" s="3">
        <v>1E-73</v>
      </c>
      <c r="F381">
        <v>56.31</v>
      </c>
      <c r="G381" t="str">
        <f>HYPERLINK("https://www.ncbi.nlm.nih.gov/nucleotide/XM_001835018.2?report=genbank&amp;log$=nucltop&amp;blast_rank=5&amp;RID=1U89EUNR016","XM_001835018.2")</f>
        <v>XM_001835018.2</v>
      </c>
    </row>
    <row r="382" spans="1:7" x14ac:dyDescent="0.35">
      <c r="A382" s="4" t="s">
        <v>390</v>
      </c>
      <c r="B382" s="4">
        <v>249</v>
      </c>
      <c r="C382" s="4">
        <v>249</v>
      </c>
      <c r="D382" s="5">
        <v>0.45</v>
      </c>
      <c r="E382" s="6">
        <v>9.9999999999999996E-75</v>
      </c>
      <c r="F382" s="4">
        <v>56.11</v>
      </c>
      <c r="G382" s="4" t="str">
        <f>HYPERLINK("https://www.ncbi.nlm.nih.gov/nucleotide/LR725265.1?report=genbank&amp;log$=nucltop&amp;blast_rank=6&amp;RID=1U89EUNR016","LR725265.1")</f>
        <v>LR725265.1</v>
      </c>
    </row>
    <row r="383" spans="1:7" x14ac:dyDescent="0.35">
      <c r="A383" t="s">
        <v>391</v>
      </c>
      <c r="B383">
        <v>251</v>
      </c>
      <c r="C383">
        <v>251</v>
      </c>
      <c r="D383" s="2">
        <v>0.45</v>
      </c>
      <c r="E383" s="3">
        <v>9.9999999999999996E-76</v>
      </c>
      <c r="F383">
        <v>55.66</v>
      </c>
      <c r="G383" t="str">
        <f>HYPERLINK("https://www.ncbi.nlm.nih.gov/nucleotide/XM_024485421.1?report=genbank&amp;log$=nucltop&amp;blast_rank=7&amp;RID=1U89EUNR016","XM_024485421.1")</f>
        <v>XM_024485421.1</v>
      </c>
    </row>
    <row r="384" spans="1:7" x14ac:dyDescent="0.35">
      <c r="A384" s="4" t="s">
        <v>394</v>
      </c>
      <c r="B384" s="4">
        <v>251</v>
      </c>
      <c r="C384" s="4">
        <v>251</v>
      </c>
      <c r="D384" s="5">
        <v>0.45</v>
      </c>
      <c r="E384" s="6">
        <v>7.9999999999999994E-77</v>
      </c>
      <c r="F384" s="4">
        <v>54.95</v>
      </c>
      <c r="G384" s="4" t="str">
        <f>HYPERLINK("https://www.ncbi.nlm.nih.gov/nucleotide/XM_007872033.1?report=genbank&amp;log$=nucltop&amp;blast_rank=8&amp;RID=1U89EUNR016","XM_007872033.1")</f>
        <v>XM_007872033.1</v>
      </c>
    </row>
    <row r="385" spans="1:7" x14ac:dyDescent="0.35">
      <c r="A385" s="4" t="s">
        <v>395</v>
      </c>
      <c r="B385" s="4">
        <v>251</v>
      </c>
      <c r="C385" s="4">
        <v>251</v>
      </c>
      <c r="D385" s="5">
        <v>0.45</v>
      </c>
      <c r="E385" s="6">
        <v>7.9999999999999994E-77</v>
      </c>
      <c r="F385" s="4">
        <v>54.3</v>
      </c>
      <c r="G385" s="4" t="str">
        <f>HYPERLINK("https://www.ncbi.nlm.nih.gov/nucleotide/XM_008043200.1?report=genbank&amp;log$=nucltop&amp;blast_rank=9&amp;RID=1U89EUNR016","XM_008043200.1")</f>
        <v>XM_008043200.1</v>
      </c>
    </row>
    <row r="386" spans="1:7" x14ac:dyDescent="0.35">
      <c r="A386" s="4" t="s">
        <v>392</v>
      </c>
      <c r="B386" s="4">
        <v>248</v>
      </c>
      <c r="C386" s="4">
        <v>248</v>
      </c>
      <c r="D386" s="5">
        <v>0.45</v>
      </c>
      <c r="E386" s="6">
        <v>2.9999999999999999E-75</v>
      </c>
      <c r="F386" s="4">
        <v>54.3</v>
      </c>
      <c r="G386" s="4" t="str">
        <f>HYPERLINK("https://www.ncbi.nlm.nih.gov/nucleotide/XM_007363371.1?report=genbank&amp;log$=nucltop&amp;blast_rank=10&amp;RID=1U89EUNR016","XM_007363371.1")</f>
        <v>XM_007363371.1</v>
      </c>
    </row>
    <row r="387" spans="1:7" x14ac:dyDescent="0.35">
      <c r="A387" t="s">
        <v>398</v>
      </c>
      <c r="B387">
        <v>249</v>
      </c>
      <c r="C387">
        <v>309</v>
      </c>
      <c r="D387" s="2">
        <v>0.6</v>
      </c>
      <c r="E387" s="3">
        <v>4.9999999999999998E-73</v>
      </c>
      <c r="F387">
        <v>54.05</v>
      </c>
      <c r="G387" t="str">
        <f>HYPERLINK("https://www.ncbi.nlm.nih.gov/nucleotide/XM_007306844.1?report=genbank&amp;log$=nucltop&amp;blast_rank=11&amp;RID=1U89EUNR016","XM_007306844.1")</f>
        <v>XM_007306844.1</v>
      </c>
    </row>
    <row r="388" spans="1:7" x14ac:dyDescent="0.35">
      <c r="A388" t="s">
        <v>386</v>
      </c>
      <c r="B388">
        <v>120</v>
      </c>
      <c r="C388">
        <v>120</v>
      </c>
      <c r="D388" s="2">
        <v>0.19</v>
      </c>
      <c r="E388" s="3">
        <v>1E-27</v>
      </c>
      <c r="F388">
        <v>53.91</v>
      </c>
      <c r="G388" t="str">
        <f>HYPERLINK("https://www.ncbi.nlm.nih.gov/nucleotide/LC002234.1?report=genbank&amp;log$=nucltop&amp;blast_rank=12&amp;RID=1U89EUNR016","LC002234.1")</f>
        <v>LC002234.1</v>
      </c>
    </row>
    <row r="389" spans="1:7" x14ac:dyDescent="0.35">
      <c r="A389" t="s">
        <v>387</v>
      </c>
      <c r="B389">
        <v>120</v>
      </c>
      <c r="C389">
        <v>120</v>
      </c>
      <c r="D389" s="2">
        <v>0.19</v>
      </c>
      <c r="E389" s="3">
        <v>2.0000000000000001E-27</v>
      </c>
      <c r="F389">
        <v>53.91</v>
      </c>
      <c r="G389" t="str">
        <f>HYPERLINK("https://www.ncbi.nlm.nih.gov/nucleotide/LC002235.1?report=genbank&amp;log$=nucltop&amp;blast_rank=13&amp;RID=1U89EUNR016","LC002235.1")</f>
        <v>LC002235.1</v>
      </c>
    </row>
    <row r="390" spans="1:7" x14ac:dyDescent="0.35">
      <c r="A390" t="s">
        <v>393</v>
      </c>
      <c r="B390">
        <v>251</v>
      </c>
      <c r="C390">
        <v>251</v>
      </c>
      <c r="D390" s="2">
        <v>0.45</v>
      </c>
      <c r="E390" s="3">
        <v>5E-74</v>
      </c>
      <c r="F390">
        <v>53.85</v>
      </c>
      <c r="G390" t="str">
        <f>HYPERLINK("https://www.ncbi.nlm.nih.gov/nucleotide/XM_001879532.1?report=genbank&amp;log$=nucltop&amp;blast_rank=14&amp;RID=1U89EUNR016","XM_001879532.1")</f>
        <v>XM_001879532.1</v>
      </c>
    </row>
    <row r="391" spans="1:7" x14ac:dyDescent="0.35">
      <c r="A391" t="s">
        <v>21</v>
      </c>
      <c r="B391">
        <v>234</v>
      </c>
      <c r="C391">
        <v>234</v>
      </c>
      <c r="D391" s="2">
        <v>0.45</v>
      </c>
      <c r="E391" s="3">
        <v>4.9999999999999998E-70</v>
      </c>
      <c r="F391">
        <v>52.49</v>
      </c>
      <c r="G391" t="str">
        <f>HYPERLINK("https://www.ncbi.nlm.nih.gov/nucleotide/XM_009554316.1?report=genbank&amp;log$=nucltop&amp;blast_rank=15&amp;RID=1U89EUNR016","XM_009554316.1")</f>
        <v>XM_009554316.1</v>
      </c>
    </row>
    <row r="392" spans="1:7" x14ac:dyDescent="0.35">
      <c r="A392" t="s">
        <v>396</v>
      </c>
      <c r="B392">
        <v>240</v>
      </c>
      <c r="C392">
        <v>240</v>
      </c>
      <c r="D392" s="2">
        <v>0.45</v>
      </c>
      <c r="E392" s="3">
        <v>5.0000000000000003E-69</v>
      </c>
      <c r="F392">
        <v>52.49</v>
      </c>
      <c r="G392" t="str">
        <f>HYPERLINK("https://www.ncbi.nlm.nih.gov/nucleotide/XM_027759476.1?report=genbank&amp;log$=nucltop&amp;blast_rank=16&amp;RID=1U89EUNR016","XM_027759476.1")</f>
        <v>XM_027759476.1</v>
      </c>
    </row>
    <row r="393" spans="1:7" x14ac:dyDescent="0.35">
      <c r="A393" t="s">
        <v>397</v>
      </c>
      <c r="B393">
        <v>257</v>
      </c>
      <c r="C393">
        <v>257</v>
      </c>
      <c r="D393" s="2">
        <v>0.51</v>
      </c>
      <c r="E393" s="3">
        <v>1.9999999999999999E-77</v>
      </c>
      <c r="F393">
        <v>51.76</v>
      </c>
      <c r="G393" t="str">
        <f>HYPERLINK("https://www.ncbi.nlm.nih.gov/nucleotide/XM_007397903.1?report=genbank&amp;log$=nucltop&amp;blast_rank=17&amp;RID=1U89EUNR016","XM_007397903.1")</f>
        <v>XM_007397903.1</v>
      </c>
    </row>
    <row r="394" spans="1:7" x14ac:dyDescent="0.35">
      <c r="A394" t="s">
        <v>383</v>
      </c>
      <c r="B394">
        <v>154</v>
      </c>
      <c r="C394">
        <v>249</v>
      </c>
      <c r="D394" s="2">
        <v>0.36</v>
      </c>
      <c r="E394" s="3">
        <v>7.9999999999999995E-36</v>
      </c>
      <c r="F394">
        <v>51.09</v>
      </c>
      <c r="G394" t="str">
        <f>HYPERLINK("https://www.ncbi.nlm.nih.gov/nucleotide/CP015481.1?report=genbank&amp;log$=nucltop&amp;blast_rank=18&amp;RID=1U89EUNR016","CP015481.1")</f>
        <v>CP015481.1</v>
      </c>
    </row>
    <row r="395" spans="1:7" x14ac:dyDescent="0.35">
      <c r="A395" t="s">
        <v>384</v>
      </c>
      <c r="B395">
        <v>152</v>
      </c>
      <c r="C395">
        <v>246</v>
      </c>
      <c r="D395" s="2">
        <v>0.36</v>
      </c>
      <c r="E395" s="3">
        <v>2.9999999999999999E-35</v>
      </c>
      <c r="F395">
        <v>51.09</v>
      </c>
      <c r="G395" t="str">
        <f>HYPERLINK("https://www.ncbi.nlm.nih.gov/nucleotide/AC253760.1?report=genbank&amp;log$=nucltop&amp;blast_rank=19&amp;RID=1U89EUNR016","AC253760.1")</f>
        <v>AC253760.1</v>
      </c>
    </row>
    <row r="396" spans="1:7" x14ac:dyDescent="0.35">
      <c r="A396" t="s">
        <v>385</v>
      </c>
      <c r="B396">
        <v>152</v>
      </c>
      <c r="C396">
        <v>246</v>
      </c>
      <c r="D396" s="2">
        <v>0.36</v>
      </c>
      <c r="E396" s="3">
        <v>2.9999999999999999E-35</v>
      </c>
      <c r="F396">
        <v>51.09</v>
      </c>
      <c r="G396" t="str">
        <f>HYPERLINK("https://www.ncbi.nlm.nih.gov/nucleotide/CP015468.1?report=genbank&amp;log$=nucltop&amp;blast_rank=20&amp;RID=1U89EUNR016","CP015468.1")</f>
        <v>CP015468.1</v>
      </c>
    </row>
    <row r="397" spans="1:7" x14ac:dyDescent="0.35">
      <c r="A397" t="s">
        <v>403</v>
      </c>
      <c r="B397">
        <v>253</v>
      </c>
      <c r="C397">
        <v>314</v>
      </c>
      <c r="D397" s="2">
        <v>0.66</v>
      </c>
      <c r="E397" s="3">
        <v>4.9999999999999998E-75</v>
      </c>
      <c r="F397">
        <v>50.78</v>
      </c>
      <c r="G397" t="str">
        <f>HYPERLINK("https://www.ncbi.nlm.nih.gov/nucleotide/XM_037362770.1?report=genbank&amp;log$=nucltop&amp;blast_rank=21&amp;RID=1U89EUNR016","XM_037362770.1")</f>
        <v>XM_037362770.1</v>
      </c>
    </row>
    <row r="398" spans="1:7" x14ac:dyDescent="0.35">
      <c r="A398" s="4" t="s">
        <v>399</v>
      </c>
      <c r="B398" s="4">
        <v>241</v>
      </c>
      <c r="C398" s="4">
        <v>241</v>
      </c>
      <c r="D398" s="5">
        <v>0.45</v>
      </c>
      <c r="E398" s="6">
        <v>1.9999999999999998E-71</v>
      </c>
      <c r="F398" s="4">
        <v>50.23</v>
      </c>
      <c r="G398" s="4" t="str">
        <f>HYPERLINK("https://www.ncbi.nlm.nih.gov/nucleotide/XM_007385455.1?report=genbank&amp;log$=nucltop&amp;blast_rank=22&amp;RID=1U89EUNR016","XM_007385455.1")</f>
        <v>XM_007385455.1</v>
      </c>
    </row>
    <row r="399" spans="1:7" x14ac:dyDescent="0.35">
      <c r="A399" t="s">
        <v>402</v>
      </c>
      <c r="B399">
        <v>231</v>
      </c>
      <c r="C399">
        <v>231</v>
      </c>
      <c r="D399" s="2">
        <v>0.45</v>
      </c>
      <c r="E399" s="3">
        <v>7.9999999999999998E-66</v>
      </c>
      <c r="F399">
        <v>48.87</v>
      </c>
      <c r="G399" t="str">
        <f>HYPERLINK("https://www.ncbi.nlm.nih.gov/nucleotide/XM_007331822.1?report=genbank&amp;log$=nucltop&amp;blast_rank=23&amp;RID=1U89EUNR016","XM_007331822.1")</f>
        <v>XM_007331822.1</v>
      </c>
    </row>
    <row r="400" spans="1:7" x14ac:dyDescent="0.35">
      <c r="A400" t="s">
        <v>401</v>
      </c>
      <c r="B400">
        <v>231</v>
      </c>
      <c r="C400">
        <v>231</v>
      </c>
      <c r="D400" s="2">
        <v>0.45</v>
      </c>
      <c r="E400" s="3">
        <v>9.9999999999999992E-66</v>
      </c>
      <c r="F400">
        <v>48.87</v>
      </c>
      <c r="G400" t="str">
        <f>HYPERLINK("https://www.ncbi.nlm.nih.gov/nucleotide/XM_006455985.1?report=genbank&amp;log$=nucltop&amp;blast_rank=24&amp;RID=1U89EUNR016","XM_006455985.1")</f>
        <v>XM_006455985.1</v>
      </c>
    </row>
    <row r="401" spans="1:7" x14ac:dyDescent="0.35">
      <c r="A401" s="4" t="s">
        <v>400</v>
      </c>
      <c r="B401" s="4">
        <v>212</v>
      </c>
      <c r="C401" s="4">
        <v>212</v>
      </c>
      <c r="D401" s="5">
        <v>0.45</v>
      </c>
      <c r="E401" s="6">
        <v>9.0000000000000006E-58</v>
      </c>
      <c r="F401" s="4">
        <v>48.42</v>
      </c>
      <c r="G401" s="4" t="str">
        <f>HYPERLINK("https://www.ncbi.nlm.nih.gov/nucleotide/XM_007262375.1?report=genbank&amp;log$=nucltop&amp;blast_rank=25&amp;RID=1U89EUNR016","XM_007262375.1")</f>
        <v>XM_007262375.1</v>
      </c>
    </row>
    <row r="402" spans="1:7" x14ac:dyDescent="0.35">
      <c r="A402" t="s">
        <v>126</v>
      </c>
      <c r="B402">
        <v>203</v>
      </c>
      <c r="C402">
        <v>203</v>
      </c>
      <c r="D402" s="2">
        <v>0.45</v>
      </c>
      <c r="E402" s="3">
        <v>1E-54</v>
      </c>
      <c r="F402">
        <v>47.51</v>
      </c>
      <c r="G402" t="str">
        <f>HYPERLINK("https://www.ncbi.nlm.nih.gov/nucleotide/XM_007775763.1?report=genbank&amp;log$=nucltop&amp;blast_rank=26&amp;RID=1U89EUNR016","XM_007775763.1")</f>
        <v>XM_007775763.1</v>
      </c>
    </row>
    <row r="403" spans="1:7" x14ac:dyDescent="0.35">
      <c r="A403" t="s">
        <v>413</v>
      </c>
      <c r="B403">
        <v>179</v>
      </c>
      <c r="C403">
        <v>179</v>
      </c>
      <c r="D403" s="2">
        <v>0.45</v>
      </c>
      <c r="E403" s="3">
        <v>3.0000000000000002E-44</v>
      </c>
      <c r="F403">
        <v>47.51</v>
      </c>
      <c r="G403" t="str">
        <f>HYPERLINK("https://www.ncbi.nlm.nih.gov/nucleotide/LT558130.1?report=genbank&amp;log$=nucltop&amp;blast_rank=27&amp;RID=1U89EUNR016","LT558130.1")</f>
        <v>LT558130.1</v>
      </c>
    </row>
    <row r="404" spans="1:7" x14ac:dyDescent="0.35">
      <c r="A404" t="s">
        <v>428</v>
      </c>
      <c r="B404">
        <v>184</v>
      </c>
      <c r="C404">
        <v>184</v>
      </c>
      <c r="D404" s="2">
        <v>0.45</v>
      </c>
      <c r="E404" s="3">
        <v>9.9999999999999997E-49</v>
      </c>
      <c r="F404">
        <v>47.06</v>
      </c>
      <c r="G404" t="str">
        <f>HYPERLINK("https://www.ncbi.nlm.nih.gov/nucleotide/XM_011391860.1?report=genbank&amp;log$=nucltop&amp;blast_rank=28&amp;RID=1U89EUNR016","XM_011391860.1")</f>
        <v>XM_011391860.1</v>
      </c>
    </row>
    <row r="405" spans="1:7" x14ac:dyDescent="0.35">
      <c r="A405" t="s">
        <v>414</v>
      </c>
      <c r="B405">
        <v>181</v>
      </c>
      <c r="C405">
        <v>181</v>
      </c>
      <c r="D405" s="2">
        <v>0.45</v>
      </c>
      <c r="E405" s="3">
        <v>3.0000000000000002E-47</v>
      </c>
      <c r="F405">
        <v>47.06</v>
      </c>
      <c r="G405" t="str">
        <f>HYPERLINK("https://www.ncbi.nlm.nih.gov/nucleotide/XM_025507480.1?report=genbank&amp;log$=nucltop&amp;blast_rank=29&amp;RID=1U89EUNR016","XM_025507480.1")</f>
        <v>XM_025507480.1</v>
      </c>
    </row>
    <row r="406" spans="1:7" x14ac:dyDescent="0.35">
      <c r="A406" t="s">
        <v>421</v>
      </c>
      <c r="B406">
        <v>179</v>
      </c>
      <c r="C406">
        <v>179</v>
      </c>
      <c r="D406" s="2">
        <v>0.45</v>
      </c>
      <c r="E406" s="3">
        <v>1E-46</v>
      </c>
      <c r="F406">
        <v>47.06</v>
      </c>
      <c r="G406" t="str">
        <f>HYPERLINK("https://www.ncbi.nlm.nih.gov/nucleotide/XM_029881727.1?report=genbank&amp;log$=nucltop&amp;blast_rank=30&amp;RID=1U89EUNR016","XM_029881727.1")</f>
        <v>XM_029881727.1</v>
      </c>
    </row>
    <row r="407" spans="1:7" x14ac:dyDescent="0.35">
      <c r="A407" t="s">
        <v>429</v>
      </c>
      <c r="B407">
        <v>177</v>
      </c>
      <c r="C407">
        <v>177</v>
      </c>
      <c r="D407" s="2">
        <v>0.45</v>
      </c>
      <c r="E407" s="3">
        <v>2.0000000000000002E-43</v>
      </c>
      <c r="F407">
        <v>47.06</v>
      </c>
      <c r="G407" t="str">
        <f>HYPERLINK("https://www.ncbi.nlm.nih.gov/nucleotide/FQ311431.1?report=genbank&amp;log$=nucltop&amp;blast_rank=31&amp;RID=1U89EUNR016","FQ311431.1")</f>
        <v>FQ311431.1</v>
      </c>
    </row>
    <row r="408" spans="1:7" x14ac:dyDescent="0.35">
      <c r="A408" t="s">
        <v>430</v>
      </c>
      <c r="B408">
        <v>176</v>
      </c>
      <c r="C408">
        <v>176</v>
      </c>
      <c r="D408" s="2">
        <v>0.45</v>
      </c>
      <c r="E408" s="3">
        <v>2.0000000000000002E-43</v>
      </c>
      <c r="F408">
        <v>47.06</v>
      </c>
      <c r="G408" t="str">
        <f>HYPERLINK("https://www.ncbi.nlm.nih.gov/nucleotide/LT795063.1?report=genbank&amp;log$=nucltop&amp;blast_rank=32&amp;RID=1U89EUNR016","LT795063.1")</f>
        <v>LT795063.1</v>
      </c>
    </row>
    <row r="409" spans="1:7" x14ac:dyDescent="0.35">
      <c r="A409" t="s">
        <v>423</v>
      </c>
      <c r="B409">
        <v>175</v>
      </c>
      <c r="C409">
        <v>175</v>
      </c>
      <c r="D409" s="2">
        <v>0.45</v>
      </c>
      <c r="E409" s="3">
        <v>5.0000000000000002E-43</v>
      </c>
      <c r="F409">
        <v>47.06</v>
      </c>
      <c r="G409" t="str">
        <f>HYPERLINK("https://www.ncbi.nlm.nih.gov/nucleotide/LK056684.1?report=genbank&amp;log$=nucltop&amp;blast_rank=33&amp;RID=1U89EUNR016","LK056684.1")</f>
        <v>LK056684.1</v>
      </c>
    </row>
    <row r="410" spans="1:7" x14ac:dyDescent="0.35">
      <c r="A410" t="s">
        <v>424</v>
      </c>
      <c r="B410">
        <v>175</v>
      </c>
      <c r="C410">
        <v>175</v>
      </c>
      <c r="D410" s="2">
        <v>0.45</v>
      </c>
      <c r="E410" s="3">
        <v>5.0000000000000002E-43</v>
      </c>
      <c r="F410">
        <v>47.06</v>
      </c>
      <c r="G410" t="str">
        <f>HYPERLINK("https://www.ncbi.nlm.nih.gov/nucleotide/CP010927.1?report=genbank&amp;log$=nucltop&amp;blast_rank=34&amp;RID=1U89EUNR016","CP010927.1")</f>
        <v>CP010927.1</v>
      </c>
    </row>
    <row r="411" spans="1:7" x14ac:dyDescent="0.35">
      <c r="A411" t="s">
        <v>170</v>
      </c>
      <c r="B411">
        <v>177</v>
      </c>
      <c r="C411">
        <v>177</v>
      </c>
      <c r="D411" s="2">
        <v>0.45</v>
      </c>
      <c r="E411" s="3">
        <v>4.9999999999999999E-46</v>
      </c>
      <c r="F411">
        <v>46.61</v>
      </c>
      <c r="G411" t="str">
        <f>HYPERLINK("https://www.ncbi.nlm.nih.gov/nucleotide/XM_012334052.1?report=genbank&amp;log$=nucltop&amp;blast_rank=35&amp;RID=1U89EUNR016","XM_012334052.1")</f>
        <v>XM_012334052.1</v>
      </c>
    </row>
    <row r="412" spans="1:7" x14ac:dyDescent="0.35">
      <c r="A412" t="s">
        <v>183</v>
      </c>
      <c r="B412">
        <v>175</v>
      </c>
      <c r="C412">
        <v>175</v>
      </c>
      <c r="D412" s="2">
        <v>0.45</v>
      </c>
      <c r="E412" s="3">
        <v>7.0000000000000004E-46</v>
      </c>
      <c r="F412">
        <v>46.61</v>
      </c>
      <c r="G412" t="str">
        <f>HYPERLINK("https://www.ncbi.nlm.nih.gov/nucleotide/XM_016436758.1?report=genbank&amp;log$=nucltop&amp;blast_rank=36&amp;RID=1U89EUNR016","XM_016436758.1")</f>
        <v>XM_016436758.1</v>
      </c>
    </row>
    <row r="413" spans="1:7" x14ac:dyDescent="0.35">
      <c r="A413" t="s">
        <v>422</v>
      </c>
      <c r="B413">
        <v>177</v>
      </c>
      <c r="C413">
        <v>177</v>
      </c>
      <c r="D413" s="2">
        <v>0.45</v>
      </c>
      <c r="E413" s="3">
        <v>7.9999999999999996E-44</v>
      </c>
      <c r="F413">
        <v>46.61</v>
      </c>
      <c r="G413" t="str">
        <f>HYPERLINK("https://www.ncbi.nlm.nih.gov/nucleotide/HG529735.1?report=genbank&amp;log$=nucltop&amp;blast_rank=37&amp;RID=1U89EUNR016","HG529735.1")</f>
        <v>HG529735.1</v>
      </c>
    </row>
    <row r="414" spans="1:7" x14ac:dyDescent="0.35">
      <c r="A414" t="s">
        <v>405</v>
      </c>
      <c r="B414">
        <v>227</v>
      </c>
      <c r="C414">
        <v>227</v>
      </c>
      <c r="D414" s="2">
        <v>0.45</v>
      </c>
      <c r="E414" s="3">
        <v>1.9999999999999999E-60</v>
      </c>
      <c r="F414">
        <v>46.59</v>
      </c>
      <c r="G414" t="str">
        <f>HYPERLINK("https://www.ncbi.nlm.nih.gov/nucleotide/CP019382.1?report=genbank&amp;log$=nucltop&amp;blast_rank=38&amp;RID=1U89EUNR016","CP019382.1")</f>
        <v>CP019382.1</v>
      </c>
    </row>
    <row r="415" spans="1:7" x14ac:dyDescent="0.35">
      <c r="A415" s="4" t="s">
        <v>434</v>
      </c>
      <c r="B415" s="4">
        <v>181</v>
      </c>
      <c r="C415" s="4">
        <v>181</v>
      </c>
      <c r="D415" s="5">
        <v>0.42</v>
      </c>
      <c r="E415" s="6">
        <v>5.0000000000000001E-47</v>
      </c>
      <c r="F415" s="4">
        <v>45.41</v>
      </c>
      <c r="G415" s="4" t="str">
        <f>HYPERLINK("https://www.ncbi.nlm.nih.gov/nucleotide/XM_014800184.1?report=genbank&amp;log$=nucltop&amp;blast_rank=39&amp;RID=1U89EUNR016","XM_014800184.1")</f>
        <v>XM_014800184.1</v>
      </c>
    </row>
    <row r="416" spans="1:7" x14ac:dyDescent="0.35">
      <c r="A416" s="4" t="s">
        <v>415</v>
      </c>
      <c r="B416" s="4">
        <v>185</v>
      </c>
      <c r="C416" s="4">
        <v>185</v>
      </c>
      <c r="D416" s="5">
        <v>0.45</v>
      </c>
      <c r="E416" s="6">
        <v>3E-49</v>
      </c>
      <c r="F416" s="4">
        <v>45.29</v>
      </c>
      <c r="G416" s="4" t="str">
        <f>HYPERLINK("https://www.ncbi.nlm.nih.gov/nucleotide/XM_019155149.1?report=genbank&amp;log$=nucltop&amp;blast_rank=40&amp;RID=1U89EUNR016","XM_019155149.1")</f>
        <v>XM_019155149.1</v>
      </c>
    </row>
    <row r="417" spans="1:7" x14ac:dyDescent="0.35">
      <c r="A417" s="4" t="s">
        <v>416</v>
      </c>
      <c r="B417" s="4">
        <v>185</v>
      </c>
      <c r="C417" s="4">
        <v>185</v>
      </c>
      <c r="D417" s="5">
        <v>0.45</v>
      </c>
      <c r="E417" s="6">
        <v>3.9999999999999997E-49</v>
      </c>
      <c r="F417" s="4">
        <v>45.29</v>
      </c>
      <c r="G417" s="4" t="str">
        <f>HYPERLINK("https://www.ncbi.nlm.nih.gov/nucleotide/XM_018409022.1?report=genbank&amp;log$=nucltop&amp;blast_rank=41&amp;RID=1U89EUNR016","XM_018409022.1")</f>
        <v>XM_018409022.1</v>
      </c>
    </row>
    <row r="418" spans="1:7" x14ac:dyDescent="0.35">
      <c r="A418" s="4" t="s">
        <v>432</v>
      </c>
      <c r="B418" s="4">
        <v>189</v>
      </c>
      <c r="C418" s="4">
        <v>189</v>
      </c>
      <c r="D418" s="5">
        <v>0.45</v>
      </c>
      <c r="E418" s="6">
        <v>2E-50</v>
      </c>
      <c r="F418" s="4">
        <v>45.25</v>
      </c>
      <c r="G418" s="4" t="str">
        <f>HYPERLINK("https://www.ncbi.nlm.nih.gov/nucleotide/XM_013385617.1?report=genbank&amp;log$=nucltop&amp;blast_rank=42&amp;RID=1U89EUNR016","XM_013385617.1")</f>
        <v>XM_013385617.1</v>
      </c>
    </row>
    <row r="419" spans="1:7" x14ac:dyDescent="0.35">
      <c r="A419" s="4" t="s">
        <v>407</v>
      </c>
      <c r="B419" s="4">
        <v>183</v>
      </c>
      <c r="C419" s="4">
        <v>183</v>
      </c>
      <c r="D419" s="5">
        <v>0.45</v>
      </c>
      <c r="E419" s="6">
        <v>1E-50</v>
      </c>
      <c r="F419" s="4">
        <v>44.84</v>
      </c>
      <c r="G419" s="4" t="str">
        <f>HYPERLINK("https://www.ncbi.nlm.nih.gov/nucleotide/XM_018424900.1?report=genbank&amp;log$=nucltop&amp;blast_rank=43&amp;RID=1U89EUNR016","XM_018424900.1")</f>
        <v>XM_018424900.1</v>
      </c>
    </row>
    <row r="420" spans="1:7" x14ac:dyDescent="0.35">
      <c r="A420" t="s">
        <v>185</v>
      </c>
      <c r="B420">
        <v>177</v>
      </c>
      <c r="C420">
        <v>177</v>
      </c>
      <c r="D420" s="2">
        <v>0.45</v>
      </c>
      <c r="E420" s="3">
        <v>3.0000000000000002E-47</v>
      </c>
      <c r="F420">
        <v>44.8</v>
      </c>
      <c r="G420" t="str">
        <f>HYPERLINK("https://www.ncbi.nlm.nih.gov/nucleotide/XM_007878763.1?report=genbank&amp;log$=nucltop&amp;blast_rank=44&amp;RID=1U89EUNR016","XM_007878763.1")</f>
        <v>XM_007878763.1</v>
      </c>
    </row>
    <row r="421" spans="1:7" x14ac:dyDescent="0.35">
      <c r="A421" s="4" t="s">
        <v>412</v>
      </c>
      <c r="B421" s="4">
        <v>183</v>
      </c>
      <c r="C421" s="4">
        <v>183</v>
      </c>
      <c r="D421" s="5">
        <v>0.45</v>
      </c>
      <c r="E421" s="6">
        <v>3.9999999999999999E-48</v>
      </c>
      <c r="F421" s="4">
        <v>44.39</v>
      </c>
      <c r="G421" s="4" t="str">
        <f>HYPERLINK("https://www.ncbi.nlm.nih.gov/nucleotide/XM_019193050.1?report=genbank&amp;log$=nucltop&amp;blast_rank=45&amp;RID=1U89EUNR016","XM_019193050.1")</f>
        <v>XM_019193050.1</v>
      </c>
    </row>
    <row r="422" spans="1:7" x14ac:dyDescent="0.35">
      <c r="A422" s="4" t="s">
        <v>420</v>
      </c>
      <c r="B422" s="4">
        <v>179</v>
      </c>
      <c r="C422" s="4">
        <v>179</v>
      </c>
      <c r="D422" s="5">
        <v>0.45</v>
      </c>
      <c r="E422" s="6">
        <v>5.0000000000000001E-47</v>
      </c>
      <c r="F422" s="4">
        <v>44.39</v>
      </c>
      <c r="G422" s="4" t="str">
        <f>HYPERLINK("https://www.ncbi.nlm.nih.gov/nucleotide/XM_019143722.1?report=genbank&amp;log$=nucltop&amp;blast_rank=46&amp;RID=1U89EUNR016","XM_019143722.1")</f>
        <v>XM_019143722.1</v>
      </c>
    </row>
    <row r="423" spans="1:7" x14ac:dyDescent="0.35">
      <c r="A423" t="s">
        <v>406</v>
      </c>
      <c r="B423">
        <v>198</v>
      </c>
      <c r="C423">
        <v>198</v>
      </c>
      <c r="D423" s="2">
        <v>0.45</v>
      </c>
      <c r="E423" s="3">
        <v>1E-53</v>
      </c>
      <c r="F423">
        <v>44.34</v>
      </c>
      <c r="G423" t="str">
        <f>HYPERLINK("https://www.ncbi.nlm.nih.gov/nucleotide/XM_039056251.1?report=genbank&amp;log$=nucltop&amp;blast_rank=47&amp;RID=1U89EUNR016","XM_039056251.1")</f>
        <v>XM_039056251.1</v>
      </c>
    </row>
    <row r="424" spans="1:7" x14ac:dyDescent="0.35">
      <c r="A424" t="s">
        <v>404</v>
      </c>
      <c r="B424">
        <v>211</v>
      </c>
      <c r="C424">
        <v>211</v>
      </c>
      <c r="D424" s="2">
        <v>0.51</v>
      </c>
      <c r="E424" s="3">
        <v>2.0000000000000001E-58</v>
      </c>
      <c r="F424">
        <v>44.22</v>
      </c>
      <c r="G424" t="str">
        <f>HYPERLINK("https://www.ncbi.nlm.nih.gov/nucleotide/XM_036771658.1?report=genbank&amp;log$=nucltop&amp;blast_rank=48&amp;RID=1U89EUNR016","XM_036771658.1")</f>
        <v>XM_036771658.1</v>
      </c>
    </row>
    <row r="425" spans="1:7" x14ac:dyDescent="0.35">
      <c r="A425" t="s">
        <v>166</v>
      </c>
      <c r="B425">
        <v>172</v>
      </c>
      <c r="C425">
        <v>172</v>
      </c>
      <c r="D425" s="2">
        <v>0.41</v>
      </c>
      <c r="E425" s="3">
        <v>5E-42</v>
      </c>
      <c r="F425">
        <v>44.12</v>
      </c>
      <c r="G425" t="str">
        <f>HYPERLINK("https://www.ncbi.nlm.nih.gov/nucleotide/CP060305.1?report=genbank&amp;log$=nucltop&amp;blast_rank=49&amp;RID=1U89EUNR016","CP060305.1")</f>
        <v>CP060305.1</v>
      </c>
    </row>
    <row r="426" spans="1:7" x14ac:dyDescent="0.35">
      <c r="A426" t="s">
        <v>417</v>
      </c>
      <c r="B426">
        <v>176</v>
      </c>
      <c r="C426">
        <v>176</v>
      </c>
      <c r="D426" s="2">
        <v>0.45</v>
      </c>
      <c r="E426" s="3">
        <v>9.9999999999999998E-46</v>
      </c>
      <c r="F426">
        <v>43.95</v>
      </c>
      <c r="G426" t="str">
        <f>HYPERLINK("https://www.ncbi.nlm.nih.gov/nucleotide/XM_007006886.1?report=genbank&amp;log$=nucltop&amp;blast_rank=50&amp;RID=1U89EUNR016","XM_007006886.1")</f>
        <v>XM_007006886.1</v>
      </c>
    </row>
    <row r="427" spans="1:7" x14ac:dyDescent="0.35">
      <c r="A427" t="s">
        <v>382</v>
      </c>
      <c r="B427">
        <v>217</v>
      </c>
      <c r="C427">
        <v>217</v>
      </c>
      <c r="D427" s="2">
        <v>0.45</v>
      </c>
      <c r="E427" s="3">
        <v>3.9999999999999998E-57</v>
      </c>
      <c r="F427">
        <v>43.8</v>
      </c>
      <c r="G427" t="str">
        <f>HYPERLINK("https://www.ncbi.nlm.nih.gov/nucleotide/CP039884.1?report=genbank&amp;log$=nucltop&amp;blast_rank=51&amp;RID=1U89EUNR016","CP039884.1")</f>
        <v>CP039884.1</v>
      </c>
    </row>
    <row r="428" spans="1:7" x14ac:dyDescent="0.35">
      <c r="A428" t="s">
        <v>427</v>
      </c>
      <c r="B428">
        <v>187</v>
      </c>
      <c r="C428">
        <v>187</v>
      </c>
      <c r="D428" s="2">
        <v>0.45</v>
      </c>
      <c r="E428" s="3">
        <v>1.9999999999999999E-49</v>
      </c>
      <c r="F428">
        <v>43.5</v>
      </c>
      <c r="G428" t="str">
        <f>HYPERLINK("https://www.ncbi.nlm.nih.gov/nucleotide/XM_019138643.1?report=genbank&amp;log$=nucltop&amp;blast_rank=52&amp;RID=1U89EUNR016","XM_019138643.1")</f>
        <v>XM_019138643.1</v>
      </c>
    </row>
    <row r="429" spans="1:7" x14ac:dyDescent="0.35">
      <c r="A429" t="s">
        <v>408</v>
      </c>
      <c r="B429">
        <v>177</v>
      </c>
      <c r="C429">
        <v>177</v>
      </c>
      <c r="D429" s="2">
        <v>0.45</v>
      </c>
      <c r="E429" s="3">
        <v>4.0000000000000001E-46</v>
      </c>
      <c r="F429">
        <v>43.5</v>
      </c>
      <c r="G429" t="str">
        <f>HYPERLINK("https://www.ncbi.nlm.nih.gov/nucleotide/XM_003194443.1?report=genbank&amp;log$=nucltop&amp;blast_rank=53&amp;RID=1U89EUNR016","XM_003194443.1")</f>
        <v>XM_003194443.1</v>
      </c>
    </row>
    <row r="430" spans="1:7" x14ac:dyDescent="0.35">
      <c r="A430" t="s">
        <v>326</v>
      </c>
      <c r="B430">
        <v>178</v>
      </c>
      <c r="C430">
        <v>178</v>
      </c>
      <c r="D430" s="2">
        <v>0.44</v>
      </c>
      <c r="E430" s="3">
        <v>7.0000000000000004E-46</v>
      </c>
      <c r="F430">
        <v>43.32</v>
      </c>
      <c r="G430" t="str">
        <f>HYPERLINK("https://www.ncbi.nlm.nih.gov/nucleotide/XM_014715922.1?report=genbank&amp;log$=nucltop&amp;blast_rank=54&amp;RID=1U89EUNR016","XM_014715922.1")</f>
        <v>XM_014715922.1</v>
      </c>
    </row>
    <row r="431" spans="1:7" x14ac:dyDescent="0.35">
      <c r="A431" s="4" t="s">
        <v>419</v>
      </c>
      <c r="B431" s="4">
        <v>178</v>
      </c>
      <c r="C431" s="4">
        <v>178</v>
      </c>
      <c r="D431" s="5">
        <v>0.45</v>
      </c>
      <c r="E431" s="6">
        <v>1E-46</v>
      </c>
      <c r="F431" s="4">
        <v>43.05</v>
      </c>
      <c r="G431" s="4" t="str">
        <f>HYPERLINK("https://www.ncbi.nlm.nih.gov/nucleotide/XM_019179827.1?report=genbank&amp;log$=nucltop&amp;blast_rank=55&amp;RID=1U89EUNR016","XM_019179827.1")</f>
        <v>XM_019179827.1</v>
      </c>
    </row>
    <row r="432" spans="1:7" x14ac:dyDescent="0.35">
      <c r="A432" t="s">
        <v>431</v>
      </c>
      <c r="B432">
        <v>179</v>
      </c>
      <c r="C432">
        <v>179</v>
      </c>
      <c r="D432" s="2">
        <v>0.45</v>
      </c>
      <c r="E432" s="3">
        <v>2.9999999999999999E-46</v>
      </c>
      <c r="F432">
        <v>43.05</v>
      </c>
      <c r="G432" t="str">
        <f>HYPERLINK("https://www.ncbi.nlm.nih.gov/nucleotide/XM_022012622.1?report=genbank&amp;log$=nucltop&amp;blast_rank=56&amp;RID=1U89EUNR016","XM_022012622.1")</f>
        <v>XM_022012622.1</v>
      </c>
    </row>
    <row r="433" spans="1:7" x14ac:dyDescent="0.35">
      <c r="A433" t="s">
        <v>409</v>
      </c>
      <c r="B433">
        <v>173</v>
      </c>
      <c r="C433">
        <v>173</v>
      </c>
      <c r="D433" s="2">
        <v>0.45</v>
      </c>
      <c r="E433" s="3">
        <v>9.9999999999999995E-45</v>
      </c>
      <c r="F433">
        <v>43.05</v>
      </c>
      <c r="G433" t="str">
        <f>HYPERLINK("https://www.ncbi.nlm.nih.gov/nucleotide/XM_770139.1?report=genbank&amp;log$=nucltop&amp;blast_rank=57&amp;RID=1U89EUNR016","XM_770139.1")</f>
        <v>XM_770139.1</v>
      </c>
    </row>
    <row r="434" spans="1:7" x14ac:dyDescent="0.35">
      <c r="A434" s="4" t="s">
        <v>410</v>
      </c>
      <c r="B434" s="4">
        <v>173</v>
      </c>
      <c r="C434" s="4">
        <v>173</v>
      </c>
      <c r="D434" s="5">
        <v>0.45</v>
      </c>
      <c r="E434" s="6">
        <v>9.9999999999999995E-45</v>
      </c>
      <c r="F434" s="4">
        <v>43.05</v>
      </c>
      <c r="G434" s="4" t="str">
        <f>HYPERLINK("https://www.ncbi.nlm.nih.gov/nucleotide/HQ399545.1?report=genbank&amp;log$=nucltop&amp;blast_rank=58&amp;RID=1U89EUNR016","HQ399545.1")</f>
        <v>HQ399545.1</v>
      </c>
    </row>
    <row r="435" spans="1:7" x14ac:dyDescent="0.35">
      <c r="A435" s="4" t="s">
        <v>418</v>
      </c>
      <c r="B435" s="4">
        <v>175</v>
      </c>
      <c r="C435" s="4">
        <v>175</v>
      </c>
      <c r="D435" s="5">
        <v>0.45</v>
      </c>
      <c r="E435" s="6">
        <v>6.9999999999999995E-44</v>
      </c>
      <c r="F435" s="4">
        <v>43.05</v>
      </c>
      <c r="G435" s="4" t="str">
        <f>HYPERLINK("https://www.ncbi.nlm.nih.gov/nucleotide/XM_012194483.1?report=genbank&amp;log$=nucltop&amp;blast_rank=59&amp;RID=1U89EUNR016","XM_012194483.1")</f>
        <v>XM_012194483.1</v>
      </c>
    </row>
    <row r="436" spans="1:7" x14ac:dyDescent="0.35">
      <c r="A436" t="s">
        <v>411</v>
      </c>
      <c r="B436">
        <v>173</v>
      </c>
      <c r="C436">
        <v>173</v>
      </c>
      <c r="D436" s="2">
        <v>0.45</v>
      </c>
      <c r="E436" s="3">
        <v>1E-42</v>
      </c>
      <c r="F436">
        <v>43.05</v>
      </c>
      <c r="G436" t="str">
        <f>HYPERLINK("https://www.ncbi.nlm.nih.gov/nucleotide/XM_571034.2?report=genbank&amp;log$=nucltop&amp;blast_rank=60&amp;RID=1U89EUNR016","XM_571034.2")</f>
        <v>XM_571034.2</v>
      </c>
    </row>
    <row r="437" spans="1:7" x14ac:dyDescent="0.35">
      <c r="A437" t="s">
        <v>425</v>
      </c>
      <c r="B437">
        <v>170</v>
      </c>
      <c r="C437">
        <v>170</v>
      </c>
      <c r="D437" s="2">
        <v>0.45</v>
      </c>
      <c r="E437" s="3">
        <v>1E-42</v>
      </c>
      <c r="F437">
        <v>42.79</v>
      </c>
      <c r="G437" t="str">
        <f>HYPERLINK("https://www.ncbi.nlm.nih.gov/nucleotide/XM_025521609.1?report=genbank&amp;log$=nucltop&amp;blast_rank=61&amp;RID=1U89EUNR016","XM_025521609.1")</f>
        <v>XM_025521609.1</v>
      </c>
    </row>
    <row r="438" spans="1:7" x14ac:dyDescent="0.35">
      <c r="A438" t="s">
        <v>435</v>
      </c>
      <c r="B438">
        <v>177</v>
      </c>
      <c r="C438">
        <v>177</v>
      </c>
      <c r="D438" s="2">
        <v>0.45</v>
      </c>
      <c r="E438" s="3">
        <v>9.9999999999999998E-46</v>
      </c>
      <c r="F438">
        <v>42.68</v>
      </c>
      <c r="G438" t="str">
        <f>HYPERLINK("https://www.ncbi.nlm.nih.gov/nucleotide/XM_003319999.2?report=genbank&amp;log$=nucltop&amp;blast_rank=62&amp;RID=1U89EUNR016","XM_003319999.2")</f>
        <v>XM_003319999.2</v>
      </c>
    </row>
    <row r="439" spans="1:7" x14ac:dyDescent="0.35">
      <c r="A439" t="s">
        <v>436</v>
      </c>
      <c r="B439">
        <v>177</v>
      </c>
      <c r="C439">
        <v>177</v>
      </c>
      <c r="D439" s="2">
        <v>0.45</v>
      </c>
      <c r="E439" s="3">
        <v>4.9999999999999998E-45</v>
      </c>
      <c r="F439">
        <v>42.68</v>
      </c>
      <c r="G439" t="str">
        <f>HYPERLINK("https://www.ncbi.nlm.nih.gov/nucleotide/XM_003337970.2?report=genbank&amp;log$=nucltop&amp;blast_rank=63&amp;RID=1U89EUNR016","XM_003337970.2")</f>
        <v>XM_003337970.2</v>
      </c>
    </row>
    <row r="440" spans="1:7" x14ac:dyDescent="0.35">
      <c r="A440" t="s">
        <v>433</v>
      </c>
      <c r="B440">
        <v>159</v>
      </c>
      <c r="C440">
        <v>159</v>
      </c>
      <c r="D440" s="2">
        <v>0.45</v>
      </c>
      <c r="E440" s="3">
        <v>2E-41</v>
      </c>
      <c r="F440">
        <v>42.67</v>
      </c>
      <c r="G440" t="str">
        <f>HYPERLINK("https://www.ncbi.nlm.nih.gov/nucleotide/XM_025496346.1?report=genbank&amp;log$=nucltop&amp;blast_rank=64&amp;RID=1U89EUNR016","XM_025496346.1")</f>
        <v>XM_025496346.1</v>
      </c>
    </row>
    <row r="441" spans="1:7" x14ac:dyDescent="0.35">
      <c r="A441" t="s">
        <v>438</v>
      </c>
      <c r="B441">
        <v>171</v>
      </c>
      <c r="C441">
        <v>171</v>
      </c>
      <c r="D441" s="2">
        <v>0.45</v>
      </c>
      <c r="E441" s="3">
        <v>3E-43</v>
      </c>
      <c r="F441">
        <v>42.54</v>
      </c>
      <c r="G441" t="str">
        <f>HYPERLINK("https://www.ncbi.nlm.nih.gov/nucleotide/XM_025493523.1?report=genbank&amp;log$=nucltop&amp;blast_rank=65&amp;RID=1U89EUNR016","XM_025493523.1")</f>
        <v>XM_025493523.1</v>
      </c>
    </row>
    <row r="442" spans="1:7" x14ac:dyDescent="0.35">
      <c r="A442" s="4" t="s">
        <v>437</v>
      </c>
      <c r="B442" s="4">
        <v>161</v>
      </c>
      <c r="C442" s="4">
        <v>161</v>
      </c>
      <c r="D442" s="5">
        <v>0.45</v>
      </c>
      <c r="E442" s="6">
        <v>2.0000000000000001E-42</v>
      </c>
      <c r="F442" s="4">
        <v>42.15</v>
      </c>
      <c r="G442" s="4" t="str">
        <f>HYPERLINK("https://www.ncbi.nlm.nih.gov/nucleotide/XM_028624687.1?report=genbank&amp;log$=nucltop&amp;blast_rank=66&amp;RID=1U89EUNR016","XM_028624687.1")</f>
        <v>XM_028624687.1</v>
      </c>
    </row>
    <row r="443" spans="1:7" x14ac:dyDescent="0.35">
      <c r="A443" s="4" t="s">
        <v>439</v>
      </c>
      <c r="B443" s="4">
        <v>172</v>
      </c>
      <c r="C443" s="4">
        <v>172</v>
      </c>
      <c r="D443" s="5">
        <v>0.45</v>
      </c>
      <c r="E443" s="6">
        <v>3.0000000000000002E-44</v>
      </c>
      <c r="F443" s="4">
        <v>41.7</v>
      </c>
      <c r="G443" s="4" t="str">
        <f>HYPERLINK("https://www.ncbi.nlm.nih.gov/nucleotide/XM_016417699.1?report=genbank&amp;log$=nucltop&amp;blast_rank=67&amp;RID=1U89EUNR016","XM_016417699.1")</f>
        <v>XM_016417699.1</v>
      </c>
    </row>
    <row r="444" spans="1:7" x14ac:dyDescent="0.35">
      <c r="A444" t="s">
        <v>426</v>
      </c>
      <c r="B444">
        <v>166</v>
      </c>
      <c r="C444">
        <v>166</v>
      </c>
      <c r="D444" s="2">
        <v>0.45</v>
      </c>
      <c r="E444" s="3">
        <v>4.0000000000000002E-42</v>
      </c>
      <c r="F444">
        <v>41.7</v>
      </c>
      <c r="G444" t="str">
        <f>HYPERLINK("https://www.ncbi.nlm.nih.gov/nucleotide/XM_032005597.1?report=genbank&amp;log$=nucltop&amp;blast_rank=68&amp;RID=1U89EUNR016","XM_032005597.1")</f>
        <v>XM_032005597.1</v>
      </c>
    </row>
    <row r="445" spans="1:7" x14ac:dyDescent="0.35">
      <c r="A445" t="s">
        <v>440</v>
      </c>
      <c r="B445">
        <v>169</v>
      </c>
      <c r="C445">
        <v>169</v>
      </c>
      <c r="D445" s="2">
        <v>0.45</v>
      </c>
      <c r="E445" s="3">
        <v>1E-42</v>
      </c>
      <c r="F445">
        <v>41.45</v>
      </c>
      <c r="G445" t="str">
        <f>HYPERLINK("https://www.ncbi.nlm.nih.gov/nucleotide/XM_007411685.1?report=genbank&amp;log$=nucltop&amp;blast_rank=69&amp;RID=1U89EUNR016","XM_007411685.1")</f>
        <v>XM_007411685.1</v>
      </c>
    </row>
    <row r="446" spans="1:7" x14ac:dyDescent="0.35">
      <c r="A446" t="s">
        <v>441</v>
      </c>
      <c r="B446">
        <v>159</v>
      </c>
      <c r="C446">
        <v>159</v>
      </c>
      <c r="D446" s="2">
        <v>0.44</v>
      </c>
      <c r="E446" s="3">
        <v>7.9999999999999994E-39</v>
      </c>
      <c r="F446">
        <v>41.4</v>
      </c>
      <c r="G446" t="str">
        <f>HYPERLINK("https://www.ncbi.nlm.nih.gov/nucleotide/XM_025745181.1?report=genbank&amp;log$=nucltop&amp;blast_rank=70&amp;RID=1U89EUNR016","XM_025745181.1")</f>
        <v>XM_025745181.1</v>
      </c>
    </row>
    <row r="447" spans="1:7" x14ac:dyDescent="0.35">
      <c r="A447" t="s">
        <v>442</v>
      </c>
      <c r="B447">
        <v>179</v>
      </c>
      <c r="C447">
        <v>179</v>
      </c>
      <c r="D447" s="2">
        <v>0.45</v>
      </c>
      <c r="E447" s="3">
        <v>3.0000000000000001E-45</v>
      </c>
      <c r="F447">
        <v>41.3</v>
      </c>
      <c r="G447" t="str">
        <f>HYPERLINK("https://www.ncbi.nlm.nih.gov/nucleotide/XM_025513131.1?report=genbank&amp;log$=nucltop&amp;blast_rank=71&amp;RID=1U89EUNR016","XM_025513131.1")</f>
        <v>XM_025513131.1</v>
      </c>
    </row>
    <row r="448" spans="1:7" x14ac:dyDescent="0.35">
      <c r="A448" t="s">
        <v>1230</v>
      </c>
      <c r="B448">
        <v>152</v>
      </c>
      <c r="C448">
        <v>152</v>
      </c>
      <c r="D448" s="2">
        <v>0.45</v>
      </c>
      <c r="E448" s="3">
        <v>8.0000000000000005E-37</v>
      </c>
      <c r="F448">
        <v>39.32</v>
      </c>
      <c r="G448" t="str">
        <f>HYPERLINK("https://www.ncbi.nlm.nih.gov/nucleotide/XM_018418427.1?report=genbank&amp;log$=nucltop&amp;blast_rank=72&amp;RID=1U89EUNR016","XM_018418427.1")</f>
        <v>XM_018418427.1</v>
      </c>
    </row>
    <row r="449" spans="1:7" x14ac:dyDescent="0.35">
      <c r="A449" t="s">
        <v>443</v>
      </c>
      <c r="B449">
        <v>157</v>
      </c>
      <c r="C449">
        <v>157</v>
      </c>
      <c r="D449" s="2">
        <v>0.45</v>
      </c>
      <c r="E449" s="3">
        <v>1.0000000000000001E-37</v>
      </c>
      <c r="F449">
        <v>36.61</v>
      </c>
      <c r="G449" t="str">
        <f>HYPERLINK("https://www.ncbi.nlm.nih.gov/nucleotide/XM_007874156.1?report=genbank&amp;log$=nucltop&amp;blast_rank=73&amp;RID=1U89EUNR016","XM_007874156.1")</f>
        <v>XM_007874156.1</v>
      </c>
    </row>
    <row r="450" spans="1:7" x14ac:dyDescent="0.35">
      <c r="A450" t="s">
        <v>444</v>
      </c>
      <c r="B450">
        <v>156</v>
      </c>
      <c r="C450">
        <v>156</v>
      </c>
      <c r="D450" s="2">
        <v>0.45</v>
      </c>
      <c r="E450" s="3">
        <v>2.0000000000000001E-37</v>
      </c>
      <c r="F450">
        <v>36.49</v>
      </c>
      <c r="G450" t="str">
        <f>HYPERLINK("https://www.ncbi.nlm.nih.gov/nucleotide/XM_018369006.1?report=genbank&amp;log$=nucltop&amp;blast_rank=74&amp;RID=1U89EUNR016","XM_018369006.1")</f>
        <v>XM_018369006.1</v>
      </c>
    </row>
    <row r="451" spans="1:7" x14ac:dyDescent="0.35">
      <c r="A451" t="s">
        <v>980</v>
      </c>
      <c r="B451">
        <v>142</v>
      </c>
      <c r="C451">
        <v>142</v>
      </c>
      <c r="D451" s="2">
        <v>0.45</v>
      </c>
      <c r="E451" s="3">
        <v>2.0000000000000001E-32</v>
      </c>
      <c r="F451">
        <v>34.96</v>
      </c>
      <c r="G451" t="str">
        <f>HYPERLINK("https://www.ncbi.nlm.nih.gov/nucleotide/XM_022030713.1?report=genbank&amp;log$=nucltop&amp;blast_rank=75&amp;RID=1U89EUNR016","XM_022030713.1")</f>
        <v>XM_022030713.1</v>
      </c>
    </row>
    <row r="452" spans="1:7" x14ac:dyDescent="0.35">
      <c r="A452" t="s">
        <v>446</v>
      </c>
      <c r="B452">
        <v>127</v>
      </c>
      <c r="C452">
        <v>127</v>
      </c>
      <c r="D452" s="2">
        <v>0.44</v>
      </c>
      <c r="E452" s="3">
        <v>3.0000000000000001E-27</v>
      </c>
      <c r="F452">
        <v>34.549999999999997</v>
      </c>
      <c r="G452" t="str">
        <f>HYPERLINK("https://www.ncbi.nlm.nih.gov/nucleotide/XM_031999984.1?report=genbank&amp;log$=nucltop&amp;blast_rank=76&amp;RID=1U89EUNR016","XM_031999984.1")</f>
        <v>XM_031999984.1</v>
      </c>
    </row>
    <row r="453" spans="1:7" x14ac:dyDescent="0.35">
      <c r="A453" t="s">
        <v>454</v>
      </c>
      <c r="B453">
        <v>146</v>
      </c>
      <c r="C453">
        <v>146</v>
      </c>
      <c r="D453" s="2">
        <v>0.45</v>
      </c>
      <c r="E453" s="3">
        <v>6.9999999999999997E-34</v>
      </c>
      <c r="F453">
        <v>34.39</v>
      </c>
      <c r="G453" t="str">
        <f>HYPERLINK("https://www.ncbi.nlm.nih.gov/nucleotide/XM_025319938.1?report=genbank&amp;log$=nucltop&amp;blast_rank=77&amp;RID=1U89EUNR016","XM_025319938.1")</f>
        <v>XM_025319938.1</v>
      </c>
    </row>
    <row r="454" spans="1:7" x14ac:dyDescent="0.35">
      <c r="A454" t="s">
        <v>445</v>
      </c>
      <c r="B454">
        <v>146</v>
      </c>
      <c r="C454">
        <v>146</v>
      </c>
      <c r="D454" s="2">
        <v>0.46</v>
      </c>
      <c r="E454" s="3">
        <v>3E-34</v>
      </c>
      <c r="F454">
        <v>34.21</v>
      </c>
      <c r="G454" t="str">
        <f>HYPERLINK("https://www.ncbi.nlm.nih.gov/nucleotide/XM_022027061.1?report=genbank&amp;log$=nucltop&amp;blast_rank=78&amp;RID=1U89EUNR016","XM_022027061.1")</f>
        <v>XM_022027061.1</v>
      </c>
    </row>
    <row r="455" spans="1:7" x14ac:dyDescent="0.35">
      <c r="A455" t="s">
        <v>746</v>
      </c>
      <c r="B455">
        <v>125</v>
      </c>
      <c r="C455">
        <v>125</v>
      </c>
      <c r="D455" s="2">
        <v>0.44</v>
      </c>
      <c r="E455" s="3">
        <v>1E-26</v>
      </c>
      <c r="F455">
        <v>33.94</v>
      </c>
      <c r="G455" t="str">
        <f>HYPERLINK("https://www.ncbi.nlm.nih.gov/nucleotide/XM_501207.2?report=genbank&amp;log$=nucltop&amp;blast_rank=79&amp;RID=1U89EUNR016","XM_501207.2")</f>
        <v>XM_501207.2</v>
      </c>
    </row>
    <row r="456" spans="1:7" x14ac:dyDescent="0.35">
      <c r="A456" t="s">
        <v>747</v>
      </c>
      <c r="B456">
        <v>125</v>
      </c>
      <c r="C456">
        <v>125</v>
      </c>
      <c r="D456" s="2">
        <v>0.44</v>
      </c>
      <c r="E456" s="3">
        <v>3.0000000000000001E-26</v>
      </c>
      <c r="F456">
        <v>33.94</v>
      </c>
      <c r="G456" t="str">
        <f>HYPERLINK("https://www.ncbi.nlm.nih.gov/nucleotide/CP028443.1?report=genbank&amp;log$=nucltop&amp;blast_rank=80&amp;RID=1U89EUNR016","CP028443.1")</f>
        <v>CP028443.1</v>
      </c>
    </row>
    <row r="457" spans="1:7" x14ac:dyDescent="0.35">
      <c r="A457" t="s">
        <v>748</v>
      </c>
      <c r="B457">
        <v>125</v>
      </c>
      <c r="C457">
        <v>125</v>
      </c>
      <c r="D457" s="2">
        <v>0.44</v>
      </c>
      <c r="E457" s="3">
        <v>3.0000000000000001E-26</v>
      </c>
      <c r="F457">
        <v>33.94</v>
      </c>
      <c r="G457" t="str">
        <f>HYPERLINK("https://www.ncbi.nlm.nih.gov/nucleotide/CP028455.1?report=genbank&amp;log$=nucltop&amp;blast_rank=81&amp;RID=1U89EUNR016","CP028455.1")</f>
        <v>CP028455.1</v>
      </c>
    </row>
    <row r="458" spans="1:7" x14ac:dyDescent="0.35">
      <c r="A458" t="s">
        <v>749</v>
      </c>
      <c r="B458">
        <v>125</v>
      </c>
      <c r="C458">
        <v>125</v>
      </c>
      <c r="D458" s="2">
        <v>0.44</v>
      </c>
      <c r="E458" s="3">
        <v>3.0000000000000001E-26</v>
      </c>
      <c r="F458">
        <v>33.94</v>
      </c>
      <c r="G458" t="str">
        <f>HYPERLINK("https://www.ncbi.nlm.nih.gov/nucleotide/HG934060.1?report=genbank&amp;log$=nucltop&amp;blast_rank=82&amp;RID=1U89EUNR016","HG934060.1")</f>
        <v>HG934060.1</v>
      </c>
    </row>
    <row r="459" spans="1:7" x14ac:dyDescent="0.35">
      <c r="A459" t="s">
        <v>750</v>
      </c>
      <c r="B459">
        <v>125</v>
      </c>
      <c r="C459">
        <v>125</v>
      </c>
      <c r="D459" s="2">
        <v>0.44</v>
      </c>
      <c r="E459" s="3">
        <v>3.0000000000000001E-26</v>
      </c>
      <c r="F459">
        <v>33.94</v>
      </c>
      <c r="G459" t="str">
        <f>HYPERLINK("https://www.ncbi.nlm.nih.gov/nucleotide/CP028449.1?report=genbank&amp;log$=nucltop&amp;blast_rank=83&amp;RID=1U89EUNR016","CP028449.1")</f>
        <v>CP028449.1</v>
      </c>
    </row>
    <row r="460" spans="1:7" x14ac:dyDescent="0.35">
      <c r="A460" t="s">
        <v>751</v>
      </c>
      <c r="B460">
        <v>125</v>
      </c>
      <c r="C460">
        <v>125</v>
      </c>
      <c r="D460" s="2">
        <v>0.44</v>
      </c>
      <c r="E460" s="3">
        <v>3.0000000000000001E-26</v>
      </c>
      <c r="F460">
        <v>33.94</v>
      </c>
      <c r="G460" t="str">
        <f>HYPERLINK("https://www.ncbi.nlm.nih.gov/nucleotide/CP017554.1?report=genbank&amp;log$=nucltop&amp;blast_rank=84&amp;RID=1U89EUNR016","CP017554.1")</f>
        <v>CP017554.1</v>
      </c>
    </row>
    <row r="461" spans="1:7" x14ac:dyDescent="0.35">
      <c r="A461" t="s">
        <v>752</v>
      </c>
      <c r="B461">
        <v>125</v>
      </c>
      <c r="C461">
        <v>125</v>
      </c>
      <c r="D461" s="2">
        <v>0.44</v>
      </c>
      <c r="E461" s="3">
        <v>3.0000000000000001E-26</v>
      </c>
      <c r="F461">
        <v>33.94</v>
      </c>
      <c r="G461" t="str">
        <f>HYPERLINK("https://www.ncbi.nlm.nih.gov/nucleotide/CR382128.1?report=genbank&amp;log$=nucltop&amp;blast_rank=85&amp;RID=1U89EUNR016","CR382128.1")</f>
        <v>CR382128.1</v>
      </c>
    </row>
    <row r="462" spans="1:7" x14ac:dyDescent="0.35">
      <c r="A462" t="s">
        <v>753</v>
      </c>
      <c r="B462">
        <v>125</v>
      </c>
      <c r="C462">
        <v>125</v>
      </c>
      <c r="D462" s="2">
        <v>0.44</v>
      </c>
      <c r="E462" s="3">
        <v>3.0000000000000001E-26</v>
      </c>
      <c r="F462">
        <v>33.94</v>
      </c>
      <c r="G462" t="str">
        <f>HYPERLINK("https://www.ncbi.nlm.nih.gov/nucleotide/CP061014.1?report=genbank&amp;log$=nucltop&amp;blast_rank=86&amp;RID=1U89EUNR016","CP061014.1")</f>
        <v>CP061014.1</v>
      </c>
    </row>
    <row r="463" spans="1:7" x14ac:dyDescent="0.35">
      <c r="A463" t="s">
        <v>754</v>
      </c>
      <c r="B463">
        <v>124</v>
      </c>
      <c r="C463">
        <v>124</v>
      </c>
      <c r="D463" s="2">
        <v>0.44</v>
      </c>
      <c r="E463" s="3">
        <v>2.0000000000000001E-26</v>
      </c>
      <c r="F463">
        <v>33.78</v>
      </c>
      <c r="G463" t="str">
        <f>HYPERLINK("https://www.ncbi.nlm.nih.gov/nucleotide/XM_029032634.1?report=genbank&amp;log$=nucltop&amp;blast_rank=87&amp;RID=1U89EUNR016","XM_029032634.1")</f>
        <v>XM_029032634.1</v>
      </c>
    </row>
    <row r="464" spans="1:7" x14ac:dyDescent="0.35">
      <c r="A464" t="s">
        <v>466</v>
      </c>
      <c r="B464">
        <v>127</v>
      </c>
      <c r="C464">
        <v>127</v>
      </c>
      <c r="D464" s="2">
        <v>0.45</v>
      </c>
      <c r="E464" s="3">
        <v>1E-26</v>
      </c>
      <c r="F464">
        <v>33.479999999999997</v>
      </c>
      <c r="G464" t="str">
        <f>HYPERLINK("https://www.ncbi.nlm.nih.gov/nucleotide/CP061160.1?report=genbank&amp;log$=nucltop&amp;blast_rank=88&amp;RID=1U89EUNR016","CP061160.1")</f>
        <v>CP061160.1</v>
      </c>
    </row>
    <row r="465" spans="1:7" x14ac:dyDescent="0.35">
      <c r="A465" t="s">
        <v>906</v>
      </c>
      <c r="B465">
        <v>127</v>
      </c>
      <c r="C465">
        <v>127</v>
      </c>
      <c r="D465" s="2">
        <v>0.45</v>
      </c>
      <c r="E465" s="3">
        <v>1E-26</v>
      </c>
      <c r="F465">
        <v>33.479999999999997</v>
      </c>
      <c r="G465" t="str">
        <f>HYPERLINK("https://www.ncbi.nlm.nih.gov/nucleotide/CP060340.1?report=genbank&amp;log$=nucltop&amp;blast_rank=89&amp;RID=1U89EUNR016","CP060340.1")</f>
        <v>CP060340.1</v>
      </c>
    </row>
    <row r="466" spans="1:7" x14ac:dyDescent="0.35">
      <c r="A466" t="s">
        <v>907</v>
      </c>
      <c r="B466">
        <v>127</v>
      </c>
      <c r="C466">
        <v>127</v>
      </c>
      <c r="D466" s="2">
        <v>0.45</v>
      </c>
      <c r="E466" s="3">
        <v>1E-26</v>
      </c>
      <c r="F466">
        <v>33.479999999999997</v>
      </c>
      <c r="G466" t="str">
        <f>HYPERLINK("https://www.ncbi.nlm.nih.gov/nucleotide/CP060375.1?report=genbank&amp;log$=nucltop&amp;blast_rank=90&amp;RID=1U89EUNR016","CP060375.1")</f>
        <v>CP060375.1</v>
      </c>
    </row>
    <row r="467" spans="1:7" x14ac:dyDescent="0.35">
      <c r="A467" t="s">
        <v>462</v>
      </c>
      <c r="B467">
        <v>127</v>
      </c>
      <c r="C467">
        <v>127</v>
      </c>
      <c r="D467" s="2">
        <v>0.45</v>
      </c>
      <c r="E467" s="3">
        <v>1E-26</v>
      </c>
      <c r="F467">
        <v>33.479999999999997</v>
      </c>
      <c r="G467" t="str">
        <f>HYPERLINK("https://www.ncbi.nlm.nih.gov/nucleotide/CP050654.1?report=genbank&amp;log$=nucltop&amp;blast_rank=91&amp;RID=1U89EUNR016","CP050654.1")</f>
        <v>CP050654.1</v>
      </c>
    </row>
    <row r="468" spans="1:7" x14ac:dyDescent="0.35">
      <c r="A468" t="s">
        <v>463</v>
      </c>
      <c r="B468">
        <v>127</v>
      </c>
      <c r="C468">
        <v>127</v>
      </c>
      <c r="D468" s="2">
        <v>0.45</v>
      </c>
      <c r="E468" s="3">
        <v>1E-26</v>
      </c>
      <c r="F468">
        <v>33.479999999999997</v>
      </c>
      <c r="G468" t="str">
        <f>HYPERLINK("https://www.ncbi.nlm.nih.gov/nucleotide/CP050668.1?report=genbank&amp;log$=nucltop&amp;blast_rank=92&amp;RID=1U89EUNR016","CP050668.1")</f>
        <v>CP050668.1</v>
      </c>
    </row>
    <row r="469" spans="1:7" x14ac:dyDescent="0.35">
      <c r="A469" t="s">
        <v>1232</v>
      </c>
      <c r="B469">
        <v>127</v>
      </c>
      <c r="C469">
        <v>127</v>
      </c>
      <c r="D469" s="2">
        <v>0.45</v>
      </c>
      <c r="E469" s="3">
        <v>1E-26</v>
      </c>
      <c r="F469">
        <v>33.479999999999997</v>
      </c>
      <c r="G469" t="str">
        <f>HYPERLINK("https://www.ncbi.nlm.nih.gov/nucleotide/CP060368.1?report=genbank&amp;log$=nucltop&amp;blast_rank=93&amp;RID=1U89EUNR016","CP060368.1")</f>
        <v>CP060368.1</v>
      </c>
    </row>
    <row r="470" spans="1:7" x14ac:dyDescent="0.35">
      <c r="A470" t="s">
        <v>1233</v>
      </c>
      <c r="B470">
        <v>127</v>
      </c>
      <c r="C470">
        <v>127</v>
      </c>
      <c r="D470" s="2">
        <v>0.45</v>
      </c>
      <c r="E470" s="3">
        <v>1E-26</v>
      </c>
      <c r="F470">
        <v>33.479999999999997</v>
      </c>
      <c r="G470" t="str">
        <f>HYPERLINK("https://www.ncbi.nlm.nih.gov/nucleotide/CP060347.1?report=genbank&amp;log$=nucltop&amp;blast_rank=94&amp;RID=1U89EUNR016","CP060347.1")</f>
        <v>CP060347.1</v>
      </c>
    </row>
    <row r="471" spans="1:7" x14ac:dyDescent="0.35">
      <c r="A471" t="s">
        <v>464</v>
      </c>
      <c r="B471">
        <v>127</v>
      </c>
      <c r="C471">
        <v>127</v>
      </c>
      <c r="D471" s="2">
        <v>0.45</v>
      </c>
      <c r="E471" s="3">
        <v>1E-26</v>
      </c>
      <c r="F471">
        <v>33.479999999999997</v>
      </c>
      <c r="G471" t="str">
        <f>HYPERLINK("https://www.ncbi.nlm.nih.gov/nucleotide/CP043443.1?report=genbank&amp;log$=nucltop&amp;blast_rank=95&amp;RID=1U89EUNR016","CP043443.1")</f>
        <v>CP043443.1</v>
      </c>
    </row>
    <row r="472" spans="1:7" x14ac:dyDescent="0.35">
      <c r="A472" t="s">
        <v>465</v>
      </c>
      <c r="B472">
        <v>127</v>
      </c>
      <c r="C472">
        <v>127</v>
      </c>
      <c r="D472" s="2">
        <v>0.45</v>
      </c>
      <c r="E472" s="3">
        <v>1E-26</v>
      </c>
      <c r="F472">
        <v>33.479999999999997</v>
      </c>
      <c r="G472" t="str">
        <f>HYPERLINK("https://www.ncbi.nlm.nih.gov/nucleotide/CP041136.1?report=genbank&amp;log$=nucltop&amp;blast_rank=96&amp;RID=1U89EUNR016","CP041136.1")</f>
        <v>CP041136.1</v>
      </c>
    </row>
    <row r="473" spans="1:7" x14ac:dyDescent="0.35">
      <c r="A473" t="s">
        <v>1234</v>
      </c>
      <c r="B473">
        <v>127</v>
      </c>
      <c r="C473">
        <v>127</v>
      </c>
      <c r="D473" s="2">
        <v>0.45</v>
      </c>
      <c r="E473" s="3">
        <v>1E-26</v>
      </c>
      <c r="F473">
        <v>33.479999999999997</v>
      </c>
      <c r="G473" t="str">
        <f>HYPERLINK("https://www.ncbi.nlm.nih.gov/nucleotide/CP060354.1?report=genbank&amp;log$=nucltop&amp;blast_rank=97&amp;RID=1U89EUNR016","CP060354.1")</f>
        <v>CP060354.1</v>
      </c>
    </row>
    <row r="474" spans="1:7" x14ac:dyDescent="0.35">
      <c r="A474" t="s">
        <v>1235</v>
      </c>
      <c r="B474">
        <v>127</v>
      </c>
      <c r="C474">
        <v>127</v>
      </c>
      <c r="D474" s="2">
        <v>0.45</v>
      </c>
      <c r="E474" s="3">
        <v>1E-26</v>
      </c>
      <c r="F474">
        <v>33.479999999999997</v>
      </c>
      <c r="G474" t="str">
        <f>HYPERLINK("https://www.ncbi.nlm.nih.gov/nucleotide/CP060361.1?report=genbank&amp;log$=nucltop&amp;blast_rank=98&amp;RID=1U89EUNR016","CP060361.1")</f>
        <v>CP060361.1</v>
      </c>
    </row>
    <row r="475" spans="1:7" x14ac:dyDescent="0.35">
      <c r="A475" t="s">
        <v>457</v>
      </c>
      <c r="B475">
        <v>125</v>
      </c>
      <c r="C475">
        <v>125</v>
      </c>
      <c r="D475" s="2">
        <v>0.44</v>
      </c>
      <c r="E475" s="3">
        <v>9.0000000000000003E-27</v>
      </c>
      <c r="F475">
        <v>33.33</v>
      </c>
      <c r="G475" t="str">
        <f>HYPERLINK("https://www.ncbi.nlm.nih.gov/nucleotide/XM_025480965.1?report=genbank&amp;log$=nucltop&amp;blast_rank=99&amp;RID=1U89EUNR016","XM_025480965.1")</f>
        <v>XM_025480965.1</v>
      </c>
    </row>
    <row r="476" spans="1:7" x14ac:dyDescent="0.35">
      <c r="A476" s="4" t="s">
        <v>919</v>
      </c>
      <c r="B476" s="4">
        <v>153</v>
      </c>
      <c r="C476" s="4">
        <v>153</v>
      </c>
      <c r="D476" s="5">
        <v>0.45</v>
      </c>
      <c r="E476" s="6">
        <v>9.9999999999999994E-37</v>
      </c>
      <c r="F476" s="4">
        <v>32.44</v>
      </c>
      <c r="G476" s="4" t="str">
        <f>HYPERLINK("https://www.ncbi.nlm.nih.gov/nucleotide/XM_019168748.1?report=genbank&amp;log$=nucltop&amp;blast_rank=100&amp;RID=1U89EUNR016","XM_019168748.1")</f>
        <v>XM_019168748.1</v>
      </c>
    </row>
    <row r="477" spans="1:7" x14ac:dyDescent="0.35">
      <c r="A477" s="1" t="s">
        <v>1458</v>
      </c>
    </row>
    <row r="478" spans="1:7" x14ac:dyDescent="0.35">
      <c r="A478" s="1" t="s">
        <v>2</v>
      </c>
      <c r="B478" s="1" t="s">
        <v>3</v>
      </c>
      <c r="C478" s="1" t="s">
        <v>4</v>
      </c>
      <c r="D478" s="1" t="s">
        <v>5</v>
      </c>
      <c r="E478" s="1" t="s">
        <v>6</v>
      </c>
      <c r="F478" s="1" t="s">
        <v>7</v>
      </c>
      <c r="G478" s="1" t="s">
        <v>8</v>
      </c>
    </row>
    <row r="479" spans="1:7" x14ac:dyDescent="0.35">
      <c r="A479" t="s">
        <v>37</v>
      </c>
      <c r="B479">
        <v>914</v>
      </c>
      <c r="C479">
        <v>972</v>
      </c>
      <c r="D479" s="2">
        <v>0.99</v>
      </c>
      <c r="E479">
        <v>0</v>
      </c>
      <c r="F479">
        <v>87.94</v>
      </c>
      <c r="G479" t="str">
        <f>HYPERLINK("https://www.ncbi.nlm.nih.gov/nucleotide/LR732085.1?report=genbank&amp;log$=nucltop&amp;blast_rank=1&amp;RID=1U8FZM71013","LR732085.1")</f>
        <v>LR732085.1</v>
      </c>
    </row>
    <row r="480" spans="1:7" x14ac:dyDescent="0.35">
      <c r="A480" t="s">
        <v>19</v>
      </c>
      <c r="B480">
        <v>398</v>
      </c>
      <c r="C480">
        <v>398</v>
      </c>
      <c r="D480" s="2">
        <v>0.73</v>
      </c>
      <c r="E480" s="3">
        <v>5.9999999999999996E-128</v>
      </c>
      <c r="F480">
        <v>49.54</v>
      </c>
      <c r="G480" t="str">
        <f>HYPERLINK("https://www.ncbi.nlm.nih.gov/nucleotide/XM_001880890.1?report=genbank&amp;log$=nucltop&amp;blast_rank=2&amp;RID=1U8FZM71013","XM_001880890.1")</f>
        <v>XM_001880890.1</v>
      </c>
    </row>
    <row r="481" spans="1:7" x14ac:dyDescent="0.35">
      <c r="A481" t="s">
        <v>9</v>
      </c>
      <c r="B481">
        <v>144</v>
      </c>
      <c r="C481">
        <v>258</v>
      </c>
      <c r="D481" s="2">
        <v>0.51</v>
      </c>
      <c r="E481" s="3">
        <v>4E-52</v>
      </c>
      <c r="F481">
        <v>46.2</v>
      </c>
      <c r="G481" t="str">
        <f>HYPERLINK("https://www.ncbi.nlm.nih.gov/nucleotide/LR732079.1?report=genbank&amp;log$=nucltop&amp;blast_rank=3&amp;RID=1U8FZM71013","LR732079.1")</f>
        <v>LR732079.1</v>
      </c>
    </row>
    <row r="482" spans="1:7" x14ac:dyDescent="0.35">
      <c r="A482" t="s">
        <v>34</v>
      </c>
      <c r="B482">
        <v>437</v>
      </c>
      <c r="C482">
        <v>437</v>
      </c>
      <c r="D482" s="2">
        <v>0.93</v>
      </c>
      <c r="E482" s="3">
        <v>2.9999999999999999E-143</v>
      </c>
      <c r="F482">
        <v>44.56</v>
      </c>
      <c r="G482" t="str">
        <f>HYPERLINK("https://www.ncbi.nlm.nih.gov/nucleotide/XM_001836368.2?report=genbank&amp;log$=nucltop&amp;blast_rank=4&amp;RID=1U8FZM71013","XM_001836368.2")</f>
        <v>XM_001836368.2</v>
      </c>
    </row>
    <row r="483" spans="1:7" x14ac:dyDescent="0.35">
      <c r="A483" t="s">
        <v>21</v>
      </c>
      <c r="B483">
        <v>386</v>
      </c>
      <c r="C483">
        <v>386</v>
      </c>
      <c r="D483" s="2">
        <v>0.9</v>
      </c>
      <c r="E483" s="3">
        <v>2.0000000000000001E-122</v>
      </c>
      <c r="F483">
        <v>42.68</v>
      </c>
      <c r="G483" t="str">
        <f>HYPERLINK("https://www.ncbi.nlm.nih.gov/nucleotide/XM_009546985.1?report=genbank&amp;log$=nucltop&amp;blast_rank=5&amp;RID=1U8FZM71013","XM_009546985.1")</f>
        <v>XM_009546985.1</v>
      </c>
    </row>
    <row r="484" spans="1:7" x14ac:dyDescent="0.35">
      <c r="A484" t="s">
        <v>24</v>
      </c>
      <c r="B484">
        <v>409</v>
      </c>
      <c r="C484">
        <v>409</v>
      </c>
      <c r="D484" s="2">
        <v>0.93</v>
      </c>
      <c r="E484" s="3">
        <v>3.9999999999999999E-132</v>
      </c>
      <c r="F484">
        <v>41.18</v>
      </c>
      <c r="G484" t="str">
        <f>HYPERLINK("https://www.ncbi.nlm.nih.gov/nucleotide/XM_037359093.1?report=genbank&amp;log$=nucltop&amp;blast_rank=6&amp;RID=1U8FZM71013","XM_037359093.1")</f>
        <v>XM_037359093.1</v>
      </c>
    </row>
    <row r="485" spans="1:7" x14ac:dyDescent="0.35">
      <c r="A485" t="s">
        <v>29</v>
      </c>
      <c r="B485">
        <v>407</v>
      </c>
      <c r="C485">
        <v>407</v>
      </c>
      <c r="D485" s="2">
        <v>0.93</v>
      </c>
      <c r="E485" s="3">
        <v>3E-131</v>
      </c>
      <c r="F485">
        <v>41.09</v>
      </c>
      <c r="G485" t="str">
        <f>HYPERLINK("https://www.ncbi.nlm.nih.gov/nucleotide/XM_036779059.1?report=genbank&amp;log$=nucltop&amp;blast_rank=7&amp;RID=1U8FZM71013","XM_036779059.1")</f>
        <v>XM_036779059.1</v>
      </c>
    </row>
    <row r="486" spans="1:7" x14ac:dyDescent="0.35">
      <c r="A486" t="s">
        <v>33</v>
      </c>
      <c r="B486">
        <v>396</v>
      </c>
      <c r="C486">
        <v>396</v>
      </c>
      <c r="D486" s="2">
        <v>0.93</v>
      </c>
      <c r="E486" s="3">
        <v>1.9999999999999999E-126</v>
      </c>
      <c r="F486">
        <v>40.79</v>
      </c>
      <c r="G486" t="str">
        <f>HYPERLINK("https://www.ncbi.nlm.nih.gov/nucleotide/XM_007300020.1?report=genbank&amp;log$=nucltop&amp;blast_rank=8&amp;RID=1U8FZM71013","XM_007300020.1")</f>
        <v>XM_007300020.1</v>
      </c>
    </row>
    <row r="487" spans="1:7" x14ac:dyDescent="0.35">
      <c r="A487" t="s">
        <v>18</v>
      </c>
      <c r="B487">
        <v>208</v>
      </c>
      <c r="C487">
        <v>606</v>
      </c>
      <c r="D487" s="2">
        <v>0.73</v>
      </c>
      <c r="E487" s="3">
        <v>3.0000000000000002E-53</v>
      </c>
      <c r="F487">
        <v>40.39</v>
      </c>
      <c r="G487" t="str">
        <f>HYPERLINK("https://www.ncbi.nlm.nih.gov/nucleotide/CP015474.1?report=genbank&amp;log$=nucltop&amp;blast_rank=9&amp;RID=1U8FZM71013","CP015474.1")</f>
        <v>CP015474.1</v>
      </c>
    </row>
    <row r="488" spans="1:7" x14ac:dyDescent="0.35">
      <c r="A488" t="s">
        <v>17</v>
      </c>
      <c r="B488">
        <v>208</v>
      </c>
      <c r="C488">
        <v>606</v>
      </c>
      <c r="D488" s="2">
        <v>0.73</v>
      </c>
      <c r="E488" s="3">
        <v>3.0000000000000002E-53</v>
      </c>
      <c r="F488">
        <v>40.39</v>
      </c>
      <c r="G488" t="str">
        <f>HYPERLINK("https://www.ncbi.nlm.nih.gov/nucleotide/CP015461.1?report=genbank&amp;log$=nucltop&amp;blast_rank=10&amp;RID=1U8FZM71013","CP015461.1")</f>
        <v>CP015461.1</v>
      </c>
    </row>
    <row r="489" spans="1:7" x14ac:dyDescent="0.35">
      <c r="A489" t="s">
        <v>16</v>
      </c>
      <c r="B489">
        <v>208</v>
      </c>
      <c r="C489">
        <v>606</v>
      </c>
      <c r="D489" s="2">
        <v>0.73</v>
      </c>
      <c r="E489" s="3">
        <v>3.0000000000000002E-53</v>
      </c>
      <c r="F489">
        <v>40.39</v>
      </c>
      <c r="G489" t="str">
        <f>HYPERLINK("https://www.ncbi.nlm.nih.gov/nucleotide/CP039877.1?report=genbank&amp;log$=nucltop&amp;blast_rank=11&amp;RID=1U8FZM71013","CP039877.1")</f>
        <v>CP039877.1</v>
      </c>
    </row>
    <row r="490" spans="1:7" x14ac:dyDescent="0.35">
      <c r="A490" t="s">
        <v>27</v>
      </c>
      <c r="B490">
        <v>158</v>
      </c>
      <c r="C490">
        <v>315</v>
      </c>
      <c r="D490" s="2">
        <v>0.72</v>
      </c>
      <c r="E490" s="3">
        <v>3.9999999999999999E-69</v>
      </c>
      <c r="F490">
        <v>40.26</v>
      </c>
      <c r="G490" t="str">
        <f>HYPERLINK("https://www.ncbi.nlm.nih.gov/nucleotide/CP031830.1?report=genbank&amp;log$=nucltop&amp;blast_rank=12&amp;RID=1U8FZM71013","CP031830.1")</f>
        <v>CP031830.1</v>
      </c>
    </row>
    <row r="491" spans="1:7" x14ac:dyDescent="0.35">
      <c r="A491" t="s">
        <v>28</v>
      </c>
      <c r="B491">
        <v>158</v>
      </c>
      <c r="C491">
        <v>315</v>
      </c>
      <c r="D491" s="2">
        <v>0.72</v>
      </c>
      <c r="E491" s="3">
        <v>3.9999999999999999E-69</v>
      </c>
      <c r="F491">
        <v>40.26</v>
      </c>
      <c r="G491" t="str">
        <f>HYPERLINK("https://www.ncbi.nlm.nih.gov/nucleotide/LK023335.1?report=genbank&amp;log$=nucltop&amp;blast_rank=13&amp;RID=1U8FZM71013","LK023335.1")</f>
        <v>LK023335.1</v>
      </c>
    </row>
    <row r="492" spans="1:7" x14ac:dyDescent="0.35">
      <c r="A492" t="s">
        <v>25</v>
      </c>
      <c r="B492">
        <v>391</v>
      </c>
      <c r="C492">
        <v>391</v>
      </c>
      <c r="D492" s="2">
        <v>0.92</v>
      </c>
      <c r="E492" s="3">
        <v>9.0000000000000002E-125</v>
      </c>
      <c r="F492">
        <v>39.299999999999997</v>
      </c>
      <c r="G492" t="str">
        <f>HYPERLINK("https://www.ncbi.nlm.nih.gov/nucleotide/XM_007330400.1?report=genbank&amp;log$=nucltop&amp;blast_rank=14&amp;RID=1U8FZM71013","XM_007330400.1")</f>
        <v>XM_007330400.1</v>
      </c>
    </row>
    <row r="493" spans="1:7" x14ac:dyDescent="0.35">
      <c r="A493" t="s">
        <v>26</v>
      </c>
      <c r="B493">
        <v>389</v>
      </c>
      <c r="C493">
        <v>389</v>
      </c>
      <c r="D493" s="2">
        <v>0.92</v>
      </c>
      <c r="E493" s="3">
        <v>3E-124</v>
      </c>
      <c r="F493">
        <v>39.14</v>
      </c>
      <c r="G493" t="str">
        <f>HYPERLINK("https://www.ncbi.nlm.nih.gov/nucleotide/XM_006459162.1?report=genbank&amp;log$=nucltop&amp;blast_rank=15&amp;RID=1U8FZM71013","XM_006459162.1")</f>
        <v>XM_006459162.1</v>
      </c>
    </row>
    <row r="494" spans="1:7" x14ac:dyDescent="0.35">
      <c r="A494" t="s">
        <v>19</v>
      </c>
      <c r="B494">
        <v>285</v>
      </c>
      <c r="C494">
        <v>285</v>
      </c>
      <c r="D494" s="2">
        <v>0.72</v>
      </c>
      <c r="E494" s="3">
        <v>5.0000000000000002E-84</v>
      </c>
      <c r="F494">
        <v>38.39</v>
      </c>
      <c r="G494" t="str">
        <f>HYPERLINK("https://www.ncbi.nlm.nih.gov/nucleotide/XM_001880889.1?report=genbank&amp;log$=nucltop&amp;blast_rank=16&amp;RID=1U8FZM71013","XM_001880889.1")</f>
        <v>XM_001880889.1</v>
      </c>
    </row>
    <row r="495" spans="1:7" x14ac:dyDescent="0.35">
      <c r="A495" t="s">
        <v>473</v>
      </c>
      <c r="B495">
        <v>197</v>
      </c>
      <c r="C495">
        <v>603</v>
      </c>
      <c r="D495" s="2">
        <v>0.73</v>
      </c>
      <c r="E495" s="3">
        <v>8.9999999999999992E-50</v>
      </c>
      <c r="F495">
        <v>38.39</v>
      </c>
      <c r="G495" t="str">
        <f>HYPERLINK("https://www.ncbi.nlm.nih.gov/nucleotide/CP068007.1?report=genbank&amp;log$=nucltop&amp;blast_rank=17&amp;RID=1U8FZM71013","CP068007.1")</f>
        <v>CP068007.1</v>
      </c>
    </row>
    <row r="496" spans="1:7" x14ac:dyDescent="0.35">
      <c r="A496" t="s">
        <v>12</v>
      </c>
      <c r="B496">
        <v>270</v>
      </c>
      <c r="C496">
        <v>270</v>
      </c>
      <c r="D496" s="2">
        <v>0.75</v>
      </c>
      <c r="E496" s="3">
        <v>5E-79</v>
      </c>
      <c r="F496">
        <v>37.840000000000003</v>
      </c>
      <c r="G496" t="str">
        <f>HYPERLINK("https://www.ncbi.nlm.nih.gov/nucleotide/XM_036779060.1?report=genbank&amp;log$=nucltop&amp;blast_rank=18&amp;RID=1U8FZM71013","XM_036779060.1")</f>
        <v>XM_036779060.1</v>
      </c>
    </row>
    <row r="497" spans="1:7" x14ac:dyDescent="0.35">
      <c r="A497" t="s">
        <v>39</v>
      </c>
      <c r="B497">
        <v>281</v>
      </c>
      <c r="C497">
        <v>281</v>
      </c>
      <c r="D497" s="2">
        <v>0.73</v>
      </c>
      <c r="E497" s="3">
        <v>1.9999999999999999E-82</v>
      </c>
      <c r="F497">
        <v>37.090000000000003</v>
      </c>
      <c r="G497" t="str">
        <f>HYPERLINK("https://www.ncbi.nlm.nih.gov/nucleotide/XM_025316703.1?report=genbank&amp;log$=nucltop&amp;blast_rank=19&amp;RID=1U8FZM71013","XM_025316703.1")</f>
        <v>XM_025316703.1</v>
      </c>
    </row>
    <row r="498" spans="1:7" x14ac:dyDescent="0.35">
      <c r="A498" t="s">
        <v>35</v>
      </c>
      <c r="B498">
        <v>310</v>
      </c>
      <c r="C498">
        <v>310</v>
      </c>
      <c r="D498" s="2">
        <v>0.84</v>
      </c>
      <c r="E498" s="3">
        <v>7E-94</v>
      </c>
      <c r="F498">
        <v>36.58</v>
      </c>
      <c r="G498" t="str">
        <f>HYPERLINK("https://www.ncbi.nlm.nih.gov/nucleotide/XM_023610462.1?report=genbank&amp;log$=nucltop&amp;blast_rank=20&amp;RID=1U8FZM71013","XM_023610462.1")</f>
        <v>XM_023610462.1</v>
      </c>
    </row>
    <row r="499" spans="1:7" x14ac:dyDescent="0.35">
      <c r="A499" t="s">
        <v>22</v>
      </c>
      <c r="B499">
        <v>227</v>
      </c>
      <c r="C499">
        <v>227</v>
      </c>
      <c r="D499" s="2">
        <v>0.7</v>
      </c>
      <c r="E499" s="3">
        <v>2.0000000000000001E-63</v>
      </c>
      <c r="F499">
        <v>35.869999999999997</v>
      </c>
      <c r="G499" t="str">
        <f>HYPERLINK("https://www.ncbi.nlm.nih.gov/nucleotide/XM_001836369.2?report=genbank&amp;log$=nucltop&amp;blast_rank=21&amp;RID=1U8FZM71013","XM_001836369.2")</f>
        <v>XM_001836369.2</v>
      </c>
    </row>
    <row r="500" spans="1:7" x14ac:dyDescent="0.35">
      <c r="A500" t="s">
        <v>32</v>
      </c>
      <c r="B500">
        <v>320</v>
      </c>
      <c r="C500">
        <v>320</v>
      </c>
      <c r="D500" s="2">
        <v>0.9</v>
      </c>
      <c r="E500" s="3">
        <v>2E-95</v>
      </c>
      <c r="F500">
        <v>35.6</v>
      </c>
      <c r="G500" t="str">
        <f>HYPERLINK("https://www.ncbi.nlm.nih.gov/nucleotide/XM_018429091.1?report=genbank&amp;log$=nucltop&amp;blast_rank=22&amp;RID=1U8FZM71013","XM_018429091.1")</f>
        <v>XM_018429091.1</v>
      </c>
    </row>
    <row r="501" spans="1:7" x14ac:dyDescent="0.35">
      <c r="A501" t="s">
        <v>30</v>
      </c>
      <c r="B501">
        <v>137</v>
      </c>
      <c r="C501">
        <v>306</v>
      </c>
      <c r="D501" s="2">
        <v>0.7</v>
      </c>
      <c r="E501" s="3">
        <v>2E-66</v>
      </c>
      <c r="F501">
        <v>35.19</v>
      </c>
      <c r="G501" t="str">
        <f>HYPERLINK("https://www.ncbi.nlm.nih.gov/nucleotide/CP031825.1?report=genbank&amp;log$=nucltop&amp;blast_rank=23&amp;RID=1U8FZM71013","CP031825.1")</f>
        <v>CP031825.1</v>
      </c>
    </row>
    <row r="502" spans="1:7" x14ac:dyDescent="0.35">
      <c r="A502" t="s">
        <v>31</v>
      </c>
      <c r="B502">
        <v>137</v>
      </c>
      <c r="C502">
        <v>306</v>
      </c>
      <c r="D502" s="2">
        <v>0.7</v>
      </c>
      <c r="E502" s="3">
        <v>2E-66</v>
      </c>
      <c r="F502">
        <v>35.19</v>
      </c>
      <c r="G502" t="str">
        <f>HYPERLINK("https://www.ncbi.nlm.nih.gov/nucleotide/LK023313.1?report=genbank&amp;log$=nucltop&amp;blast_rank=24&amp;RID=1U8FZM71013","LK023313.1")</f>
        <v>LK023313.1</v>
      </c>
    </row>
    <row r="503" spans="1:7" x14ac:dyDescent="0.35">
      <c r="A503" s="4" t="s">
        <v>20</v>
      </c>
      <c r="B503" s="4">
        <v>150</v>
      </c>
      <c r="C503" s="4">
        <v>300</v>
      </c>
      <c r="D503" s="5">
        <v>0.73</v>
      </c>
      <c r="E503" s="6">
        <v>1.9999999999999999E-64</v>
      </c>
      <c r="F503" s="4">
        <v>34.840000000000003</v>
      </c>
      <c r="G503" s="4" t="str">
        <f>HYPERLINK("https://www.ncbi.nlm.nih.gov/nucleotide/KJ999702.1?report=genbank&amp;log$=nucltop&amp;blast_rank=25&amp;RID=1U8FZM71013","KJ999702.1")</f>
        <v>KJ999702.1</v>
      </c>
    </row>
    <row r="504" spans="1:7" x14ac:dyDescent="0.35">
      <c r="A504" t="s">
        <v>14</v>
      </c>
      <c r="B504">
        <v>299</v>
      </c>
      <c r="C504">
        <v>299</v>
      </c>
      <c r="D504" s="2">
        <v>0.92</v>
      </c>
      <c r="E504" s="3">
        <v>4.0000000000000002E-89</v>
      </c>
      <c r="F504">
        <v>34.5</v>
      </c>
      <c r="G504" t="str">
        <f>HYPERLINK("https://www.ncbi.nlm.nih.gov/nucleotide/XM_007330301.1?report=genbank&amp;log$=nucltop&amp;blast_rank=26&amp;RID=1U8FZM71013","XM_007330301.1")</f>
        <v>XM_007330301.1</v>
      </c>
    </row>
    <row r="505" spans="1:7" x14ac:dyDescent="0.35">
      <c r="A505" t="s">
        <v>15</v>
      </c>
      <c r="B505">
        <v>296</v>
      </c>
      <c r="C505">
        <v>296</v>
      </c>
      <c r="D505" s="2">
        <v>0.92</v>
      </c>
      <c r="E505" s="3">
        <v>2.9999999999999999E-88</v>
      </c>
      <c r="F505">
        <v>34.5</v>
      </c>
      <c r="G505" t="str">
        <f>HYPERLINK("https://www.ncbi.nlm.nih.gov/nucleotide/XM_006459161.1?report=genbank&amp;log$=nucltop&amp;blast_rank=27&amp;RID=1U8FZM71013","XM_006459161.1")</f>
        <v>XM_006459161.1</v>
      </c>
    </row>
    <row r="506" spans="1:7" x14ac:dyDescent="0.35">
      <c r="A506" s="4" t="s">
        <v>11</v>
      </c>
      <c r="B506" s="4">
        <v>299</v>
      </c>
      <c r="C506" s="4">
        <v>299</v>
      </c>
      <c r="D506" s="5">
        <v>0.92</v>
      </c>
      <c r="E506" s="6">
        <v>2.0000000000000001E-89</v>
      </c>
      <c r="F506" s="4">
        <v>34.44</v>
      </c>
      <c r="G506" s="4" t="str">
        <f>HYPERLINK("https://www.ncbi.nlm.nih.gov/nucleotide/AB551982.1?report=genbank&amp;log$=nucltop&amp;blast_rank=28&amp;RID=1U8FZM71013","AB551982.1")</f>
        <v>AB551982.1</v>
      </c>
    </row>
    <row r="507" spans="1:7" x14ac:dyDescent="0.35">
      <c r="A507" t="s">
        <v>23</v>
      </c>
      <c r="B507">
        <v>233</v>
      </c>
      <c r="C507">
        <v>233</v>
      </c>
      <c r="D507" s="2">
        <v>0.73</v>
      </c>
      <c r="E507" s="3">
        <v>1.0000000000000001E-63</v>
      </c>
      <c r="F507">
        <v>34.35</v>
      </c>
      <c r="G507" t="str">
        <f>HYPERLINK("https://www.ncbi.nlm.nih.gov/nucleotide/XM_007300021.1?report=genbank&amp;log$=nucltop&amp;blast_rank=29&amp;RID=1U8FZM71013","XM_007300021.1")</f>
        <v>XM_007300021.1</v>
      </c>
    </row>
    <row r="508" spans="1:7" x14ac:dyDescent="0.35">
      <c r="A508" s="4" t="s">
        <v>13</v>
      </c>
      <c r="B508" s="4">
        <v>273</v>
      </c>
      <c r="C508" s="4">
        <v>273</v>
      </c>
      <c r="D508" s="5">
        <v>0.81</v>
      </c>
      <c r="E508" s="6">
        <v>9.0000000000000006E-80</v>
      </c>
      <c r="F508" s="4">
        <v>33.97</v>
      </c>
      <c r="G508" s="4" t="str">
        <f>HYPERLINK("https://www.ncbi.nlm.nih.gov/nucleotide/XM_037359092.1?report=genbank&amp;log$=nucltop&amp;blast_rank=30&amp;RID=1U8FZM71013","XM_037359092.1")</f>
        <v>XM_037359092.1</v>
      </c>
    </row>
    <row r="509" spans="1:7" x14ac:dyDescent="0.35">
      <c r="A509" s="4" t="s">
        <v>41</v>
      </c>
      <c r="B509" s="4">
        <v>194</v>
      </c>
      <c r="C509" s="4">
        <v>194</v>
      </c>
      <c r="D509" s="5">
        <v>0.72</v>
      </c>
      <c r="E509" s="6">
        <v>1E-50</v>
      </c>
      <c r="F509" s="4">
        <v>33.880000000000003</v>
      </c>
      <c r="G509" s="4" t="str">
        <f>HYPERLINK("https://www.ncbi.nlm.nih.gov/nucleotide/XM_032045412.1?report=genbank&amp;log$=nucltop&amp;blast_rank=31&amp;RID=1U8FZM71013","XM_032045412.1")</f>
        <v>XM_032045412.1</v>
      </c>
    </row>
    <row r="510" spans="1:7" x14ac:dyDescent="0.35">
      <c r="A510" t="s">
        <v>61</v>
      </c>
      <c r="B510">
        <v>174</v>
      </c>
      <c r="C510">
        <v>174</v>
      </c>
      <c r="D510" s="2">
        <v>0.69</v>
      </c>
      <c r="E510" s="3">
        <v>1.0000000000000001E-43</v>
      </c>
      <c r="F510">
        <v>33.5</v>
      </c>
      <c r="G510" t="str">
        <f>HYPERLINK("https://www.ncbi.nlm.nih.gov/nucleotide/XM_024831712.1?report=genbank&amp;log$=nucltop&amp;blast_rank=32&amp;RID=1U8FZM71013","XM_024831712.1")</f>
        <v>XM_024831712.1</v>
      </c>
    </row>
    <row r="511" spans="1:7" x14ac:dyDescent="0.35">
      <c r="A511" t="s">
        <v>36</v>
      </c>
      <c r="B511">
        <v>90.9</v>
      </c>
      <c r="C511">
        <v>177</v>
      </c>
      <c r="D511" s="2">
        <v>0.7</v>
      </c>
      <c r="E511" s="3">
        <v>3.9999999999999997E-34</v>
      </c>
      <c r="F511">
        <v>33.33</v>
      </c>
      <c r="G511" t="str">
        <f>HYPERLINK("https://www.ncbi.nlm.nih.gov/nucleotide/AM270105.1?report=genbank&amp;log$=nucltop&amp;blast_rank=33&amp;RID=1U8FZM71013","AM270105.1")</f>
        <v>AM270105.1</v>
      </c>
    </row>
    <row r="512" spans="1:7" x14ac:dyDescent="0.35">
      <c r="A512" t="s">
        <v>51</v>
      </c>
      <c r="B512">
        <v>192</v>
      </c>
      <c r="C512">
        <v>192</v>
      </c>
      <c r="D512" s="2">
        <v>0.74</v>
      </c>
      <c r="E512" s="3">
        <v>5.9999999999999998E-50</v>
      </c>
      <c r="F512">
        <v>32.729999999999997</v>
      </c>
      <c r="G512" t="str">
        <f>HYPERLINK("https://www.ncbi.nlm.nih.gov/nucleotide/XM_025528552.1?report=genbank&amp;log$=nucltop&amp;blast_rank=34&amp;RID=1U8FZM71013","XM_025528552.1")</f>
        <v>XM_025528552.1</v>
      </c>
    </row>
    <row r="513" spans="1:7" x14ac:dyDescent="0.35">
      <c r="A513" t="s">
        <v>21</v>
      </c>
      <c r="B513">
        <v>273</v>
      </c>
      <c r="C513">
        <v>273</v>
      </c>
      <c r="D513" s="2">
        <v>0.93</v>
      </c>
      <c r="E513" s="3">
        <v>7.0000000000000006E-79</v>
      </c>
      <c r="F513">
        <v>32.24</v>
      </c>
      <c r="G513" t="str">
        <f>HYPERLINK("https://www.ncbi.nlm.nih.gov/nucleotide/XM_009546986.1?report=genbank&amp;log$=nucltop&amp;blast_rank=35&amp;RID=1U8FZM71013","XM_009546986.1")</f>
        <v>XM_009546986.1</v>
      </c>
    </row>
    <row r="514" spans="1:7" x14ac:dyDescent="0.35">
      <c r="A514" s="4" t="s">
        <v>65</v>
      </c>
      <c r="B514" s="4">
        <v>191</v>
      </c>
      <c r="C514" s="4">
        <v>191</v>
      </c>
      <c r="D514" s="5">
        <v>0.72</v>
      </c>
      <c r="E514" s="6">
        <v>3E-49</v>
      </c>
      <c r="F514" s="4">
        <v>31.84</v>
      </c>
      <c r="G514" s="4" t="str">
        <f>HYPERLINK("https://www.ncbi.nlm.nih.gov/nucleotide/XM_026774556.1?report=genbank&amp;log$=nucltop&amp;blast_rank=36&amp;RID=1U8FZM71013","XM_026774556.1")</f>
        <v>XM_026774556.1</v>
      </c>
    </row>
    <row r="515" spans="1:7" x14ac:dyDescent="0.35">
      <c r="A515" t="s">
        <v>69</v>
      </c>
      <c r="B515">
        <v>190</v>
      </c>
      <c r="C515">
        <v>190</v>
      </c>
      <c r="D515" s="2">
        <v>0.72</v>
      </c>
      <c r="E515" s="3">
        <v>3.9999999999999997E-49</v>
      </c>
      <c r="F515">
        <v>31.84</v>
      </c>
      <c r="G515" t="str">
        <f>HYPERLINK("https://www.ncbi.nlm.nih.gov/nucleotide/XM_001390712.2?report=genbank&amp;log$=nucltop&amp;blast_rank=37&amp;RID=1U8FZM71013","XM_001390712.2")</f>
        <v>XM_001390712.2</v>
      </c>
    </row>
    <row r="516" spans="1:7" x14ac:dyDescent="0.35">
      <c r="A516" t="s">
        <v>53</v>
      </c>
      <c r="B516">
        <v>193</v>
      </c>
      <c r="C516">
        <v>193</v>
      </c>
      <c r="D516" s="2">
        <v>0.74</v>
      </c>
      <c r="E516" s="3">
        <v>5.9999999999999998E-50</v>
      </c>
      <c r="F516">
        <v>31.82</v>
      </c>
      <c r="G516" t="str">
        <f>HYPERLINK("https://www.ncbi.nlm.nih.gov/nucleotide/XM_025704096.1?report=genbank&amp;log$=nucltop&amp;blast_rank=38&amp;RID=1U8FZM71013","XM_025704096.1")</f>
        <v>XM_025704096.1</v>
      </c>
    </row>
    <row r="517" spans="1:7" x14ac:dyDescent="0.35">
      <c r="A517" t="s">
        <v>43</v>
      </c>
      <c r="B517">
        <v>184</v>
      </c>
      <c r="C517">
        <v>184</v>
      </c>
      <c r="D517" s="2">
        <v>0.71</v>
      </c>
      <c r="E517" s="3">
        <v>3.0000000000000002E-47</v>
      </c>
      <c r="F517">
        <v>31.74</v>
      </c>
      <c r="G517" t="str">
        <f>HYPERLINK("https://www.ncbi.nlm.nih.gov/nucleotide/XM_022549209.1?report=genbank&amp;log$=nucltop&amp;blast_rank=39&amp;RID=1U8FZM71013","XM_022549209.1")</f>
        <v>XM_022549209.1</v>
      </c>
    </row>
    <row r="518" spans="1:7" x14ac:dyDescent="0.35">
      <c r="A518" t="s">
        <v>48</v>
      </c>
      <c r="B518">
        <v>174</v>
      </c>
      <c r="C518">
        <v>174</v>
      </c>
      <c r="D518" s="2">
        <v>0.7</v>
      </c>
      <c r="E518" s="3">
        <v>1E-42</v>
      </c>
      <c r="F518">
        <v>31.25</v>
      </c>
      <c r="G518" t="str">
        <f>HYPERLINK("https://www.ncbi.nlm.nih.gov/nucleotide/XM_009499650.1?report=genbank&amp;log$=nucltop&amp;blast_rank=40&amp;RID=1U8FZM71013","XM_009499650.1")</f>
        <v>XM_009499650.1</v>
      </c>
    </row>
    <row r="519" spans="1:7" x14ac:dyDescent="0.35">
      <c r="A519" t="s">
        <v>52</v>
      </c>
      <c r="B519">
        <v>139</v>
      </c>
      <c r="C519">
        <v>139</v>
      </c>
      <c r="D519" s="2">
        <v>0.56000000000000005</v>
      </c>
      <c r="E519" s="3">
        <v>1.0000000000000001E-32</v>
      </c>
      <c r="F519">
        <v>31</v>
      </c>
      <c r="G519" t="str">
        <f>HYPERLINK("https://www.ncbi.nlm.nih.gov/nucleotide/XM_003857413.1?report=genbank&amp;log$=nucltop&amp;blast_rank=41&amp;RID=1U8FZM71013","XM_003857413.1")</f>
        <v>XM_003857413.1</v>
      </c>
    </row>
    <row r="520" spans="1:7" x14ac:dyDescent="0.35">
      <c r="A520" t="s">
        <v>56</v>
      </c>
      <c r="B520">
        <v>190</v>
      </c>
      <c r="C520">
        <v>190</v>
      </c>
      <c r="D520" s="2">
        <v>0.72</v>
      </c>
      <c r="E520" s="3">
        <v>4.9999999999999997E-50</v>
      </c>
      <c r="F520">
        <v>30.95</v>
      </c>
      <c r="G520" t="str">
        <f>HYPERLINK("https://www.ncbi.nlm.nih.gov/nucleotide/XM_024844676.1?report=genbank&amp;log$=nucltop&amp;blast_rank=42&amp;RID=1U8FZM71013","XM_024844676.1")</f>
        <v>XM_024844676.1</v>
      </c>
    </row>
    <row r="521" spans="1:7" x14ac:dyDescent="0.35">
      <c r="A521" t="s">
        <v>80</v>
      </c>
      <c r="B521">
        <v>182</v>
      </c>
      <c r="C521">
        <v>182</v>
      </c>
      <c r="D521" s="2">
        <v>0.72</v>
      </c>
      <c r="E521" s="3">
        <v>4.9999999999999999E-46</v>
      </c>
      <c r="F521">
        <v>30.86</v>
      </c>
      <c r="G521" t="str">
        <f>HYPERLINK("https://www.ncbi.nlm.nih.gov/nucleotide/XM_025662501.1?report=genbank&amp;log$=nucltop&amp;blast_rank=43&amp;RID=1U8FZM71013","XM_025662501.1")</f>
        <v>XM_025662501.1</v>
      </c>
    </row>
    <row r="522" spans="1:7" x14ac:dyDescent="0.35">
      <c r="A522" s="4" t="s">
        <v>85</v>
      </c>
      <c r="B522" s="4">
        <v>187</v>
      </c>
      <c r="C522" s="4">
        <v>187</v>
      </c>
      <c r="D522" s="5">
        <v>0.72</v>
      </c>
      <c r="E522" s="6">
        <v>1.9999999999999999E-48</v>
      </c>
      <c r="F522" s="4">
        <v>30.5</v>
      </c>
      <c r="G522" s="4" t="str">
        <f>HYPERLINK("https://www.ncbi.nlm.nih.gov/nucleotide/XM_002559523.1?report=genbank&amp;log$=nucltop&amp;blast_rank=44&amp;RID=1U8FZM71013","XM_002559523.1")</f>
        <v>XM_002559523.1</v>
      </c>
    </row>
    <row r="523" spans="1:7" x14ac:dyDescent="0.35">
      <c r="A523" s="4" t="s">
        <v>60</v>
      </c>
      <c r="B523" s="4">
        <v>177</v>
      </c>
      <c r="C523" s="4">
        <v>177</v>
      </c>
      <c r="D523" s="5">
        <v>0.72</v>
      </c>
      <c r="E523" s="6">
        <v>3.9999999999999998E-44</v>
      </c>
      <c r="F523" s="4">
        <v>30.41</v>
      </c>
      <c r="G523" s="4" t="str">
        <f>HYPERLINK("https://www.ncbi.nlm.nih.gov/nucleotide/XM_035498527.1?report=genbank&amp;log$=nucltop&amp;blast_rank=45&amp;RID=1U8FZM71013","XM_035498527.1")</f>
        <v>XM_035498527.1</v>
      </c>
    </row>
    <row r="524" spans="1:7" x14ac:dyDescent="0.35">
      <c r="A524" t="s">
        <v>794</v>
      </c>
      <c r="B524">
        <v>185</v>
      </c>
      <c r="C524">
        <v>185</v>
      </c>
      <c r="D524" s="2">
        <v>0.71</v>
      </c>
      <c r="E524" s="3">
        <v>2E-45</v>
      </c>
      <c r="F524">
        <v>30.4</v>
      </c>
      <c r="G524" t="str">
        <f>HYPERLINK("https://www.ncbi.nlm.nih.gov/nucleotide/AP024419.1?report=genbank&amp;log$=nucltop&amp;blast_rank=46&amp;RID=1U8FZM71013","AP024419.1")</f>
        <v>AP024419.1</v>
      </c>
    </row>
    <row r="525" spans="1:7" x14ac:dyDescent="0.35">
      <c r="A525" t="s">
        <v>57</v>
      </c>
      <c r="B525">
        <v>151</v>
      </c>
      <c r="C525">
        <v>151</v>
      </c>
      <c r="D525" s="2">
        <v>0.64</v>
      </c>
      <c r="E525" s="3">
        <v>3E-34</v>
      </c>
      <c r="F525">
        <v>30.34</v>
      </c>
      <c r="G525" t="str">
        <f>HYPERLINK("https://www.ncbi.nlm.nih.gov/nucleotide/LT854253.1?report=genbank&amp;log$=nucltop&amp;blast_rank=47&amp;RID=1U8FZM71013","LT854253.1")</f>
        <v>LT854253.1</v>
      </c>
    </row>
    <row r="526" spans="1:7" x14ac:dyDescent="0.35">
      <c r="A526" t="s">
        <v>59</v>
      </c>
      <c r="B526">
        <v>151</v>
      </c>
      <c r="C526">
        <v>151</v>
      </c>
      <c r="D526" s="2">
        <v>0.64</v>
      </c>
      <c r="E526" s="3">
        <v>3E-34</v>
      </c>
      <c r="F526">
        <v>30.34</v>
      </c>
      <c r="G526" t="str">
        <f>HYPERLINK("https://www.ncbi.nlm.nih.gov/nucleotide/LT882676.1?report=genbank&amp;log$=nucltop&amp;blast_rank=48&amp;RID=1U8FZM71013","LT882676.1")</f>
        <v>LT882676.1</v>
      </c>
    </row>
    <row r="527" spans="1:7" x14ac:dyDescent="0.35">
      <c r="A527" t="s">
        <v>58</v>
      </c>
      <c r="B527">
        <v>151</v>
      </c>
      <c r="C527">
        <v>151</v>
      </c>
      <c r="D527" s="2">
        <v>0.64</v>
      </c>
      <c r="E527" s="3">
        <v>3E-34</v>
      </c>
      <c r="F527">
        <v>30.34</v>
      </c>
      <c r="G527" t="str">
        <f>HYPERLINK("https://www.ncbi.nlm.nih.gov/nucleotide/LT854273.1?report=genbank&amp;log$=nucltop&amp;blast_rank=49&amp;RID=1U8FZM71013","LT854273.1")</f>
        <v>LT854273.1</v>
      </c>
    </row>
    <row r="528" spans="1:7" x14ac:dyDescent="0.35">
      <c r="A528" t="s">
        <v>54</v>
      </c>
      <c r="B528">
        <v>151</v>
      </c>
      <c r="C528">
        <v>151</v>
      </c>
      <c r="D528" s="2">
        <v>0.64</v>
      </c>
      <c r="E528" s="3">
        <v>3E-34</v>
      </c>
      <c r="F528">
        <v>30.34</v>
      </c>
      <c r="G528" t="str">
        <f>HYPERLINK("https://www.ncbi.nlm.nih.gov/nucleotide/LT853692.1?report=genbank&amp;log$=nucltop&amp;blast_rank=50&amp;RID=1U8FZM71013","LT853692.1")</f>
        <v>LT853692.1</v>
      </c>
    </row>
    <row r="529" spans="1:7" x14ac:dyDescent="0.35">
      <c r="A529" t="s">
        <v>44</v>
      </c>
      <c r="B529">
        <v>169</v>
      </c>
      <c r="C529">
        <v>169</v>
      </c>
      <c r="D529" s="2">
        <v>0.71</v>
      </c>
      <c r="E529" s="3">
        <v>9.0000000000000005E-43</v>
      </c>
      <c r="F529">
        <v>30.02</v>
      </c>
      <c r="G529" t="str">
        <f>HYPERLINK("https://www.ncbi.nlm.nih.gov/nucleotide/XM_033572072.1?report=genbank&amp;log$=nucltop&amp;blast_rank=51&amp;RID=1U8FZM71013","XM_033572072.1")</f>
        <v>XM_033572072.1</v>
      </c>
    </row>
    <row r="530" spans="1:7" x14ac:dyDescent="0.35">
      <c r="A530" t="s">
        <v>45</v>
      </c>
      <c r="B530">
        <v>188</v>
      </c>
      <c r="C530">
        <v>188</v>
      </c>
      <c r="D530" s="2">
        <v>0.73</v>
      </c>
      <c r="E530" s="3">
        <v>9.9999999999999997E-49</v>
      </c>
      <c r="F530">
        <v>29.74</v>
      </c>
      <c r="G530" t="str">
        <f>HYPERLINK("https://www.ncbi.nlm.nih.gov/nucleotide/XM_007926421.1?report=genbank&amp;log$=nucltop&amp;blast_rank=52&amp;RID=1U8FZM71013","XM_007926421.1")</f>
        <v>XM_007926421.1</v>
      </c>
    </row>
    <row r="531" spans="1:7" x14ac:dyDescent="0.35">
      <c r="A531" t="s">
        <v>76</v>
      </c>
      <c r="B531">
        <v>169</v>
      </c>
      <c r="C531">
        <v>169</v>
      </c>
      <c r="D531" s="2">
        <v>0.69</v>
      </c>
      <c r="E531" s="3">
        <v>2E-41</v>
      </c>
      <c r="F531">
        <v>29.54</v>
      </c>
      <c r="G531" t="str">
        <f>HYPERLINK("https://www.ncbi.nlm.nih.gov/nucleotide/XM_026762387.1?report=genbank&amp;log$=nucltop&amp;blast_rank=53&amp;RID=1U8FZM71013","XM_026762387.1")</f>
        <v>XM_026762387.1</v>
      </c>
    </row>
    <row r="532" spans="1:7" x14ac:dyDescent="0.35">
      <c r="A532" t="s">
        <v>69</v>
      </c>
      <c r="B532">
        <v>158</v>
      </c>
      <c r="C532">
        <v>158</v>
      </c>
      <c r="D532" s="2">
        <v>0.72</v>
      </c>
      <c r="E532" s="3">
        <v>3.9999999999999998E-38</v>
      </c>
      <c r="F532">
        <v>29.51</v>
      </c>
      <c r="G532" t="str">
        <f>HYPERLINK("https://www.ncbi.nlm.nih.gov/nucleotide/XM_001401884.2?report=genbank&amp;log$=nucltop&amp;blast_rank=54&amp;RID=1U8FZM71013","XM_001401884.2")</f>
        <v>XM_001401884.2</v>
      </c>
    </row>
    <row r="533" spans="1:7" x14ac:dyDescent="0.35">
      <c r="A533" t="s">
        <v>72</v>
      </c>
      <c r="B533">
        <v>158</v>
      </c>
      <c r="C533">
        <v>158</v>
      </c>
      <c r="D533" s="2">
        <v>0.72</v>
      </c>
      <c r="E533" s="3">
        <v>2.0000000000000001E-37</v>
      </c>
      <c r="F533">
        <v>29.51</v>
      </c>
      <c r="G533" t="str">
        <f>HYPERLINK("https://www.ncbi.nlm.nih.gov/nucleotide/XM_025601684.1?report=genbank&amp;log$=nucltop&amp;blast_rank=55&amp;RID=1U8FZM71013","XM_025601684.1")</f>
        <v>XM_025601684.1</v>
      </c>
    </row>
    <row r="534" spans="1:7" x14ac:dyDescent="0.35">
      <c r="A534" s="4" t="s">
        <v>66</v>
      </c>
      <c r="B534" s="4">
        <v>161</v>
      </c>
      <c r="C534" s="4">
        <v>161</v>
      </c>
      <c r="D534" s="5">
        <v>0.72</v>
      </c>
      <c r="E534" s="6">
        <v>3.0000000000000003E-39</v>
      </c>
      <c r="F534" s="4">
        <v>29.44</v>
      </c>
      <c r="G534" s="4" t="str">
        <f>HYPERLINK("https://www.ncbi.nlm.nih.gov/nucleotide/XM_035498118.1?report=genbank&amp;log$=nucltop&amp;blast_rank=56&amp;RID=1U8FZM71013","XM_035498118.1")</f>
        <v>XM_035498118.1</v>
      </c>
    </row>
    <row r="535" spans="1:7" x14ac:dyDescent="0.35">
      <c r="A535" t="s">
        <v>101</v>
      </c>
      <c r="B535">
        <v>145</v>
      </c>
      <c r="C535">
        <v>145</v>
      </c>
      <c r="D535" s="2">
        <v>0.69</v>
      </c>
      <c r="E535" s="3">
        <v>3.9999999999999997E-34</v>
      </c>
      <c r="F535">
        <v>29.34</v>
      </c>
      <c r="G535" t="str">
        <f>HYPERLINK("https://www.ncbi.nlm.nih.gov/nucleotide/XM_023596533.1?report=genbank&amp;log$=nucltop&amp;blast_rank=57&amp;RID=1U8FZM71013","XM_023596533.1")</f>
        <v>XM_023596533.1</v>
      </c>
    </row>
    <row r="536" spans="1:7" x14ac:dyDescent="0.35">
      <c r="A536" t="s">
        <v>795</v>
      </c>
      <c r="B536">
        <v>173</v>
      </c>
      <c r="C536">
        <v>173</v>
      </c>
      <c r="D536" s="2">
        <v>0.71</v>
      </c>
      <c r="E536" s="3">
        <v>1E-41</v>
      </c>
      <c r="F536">
        <v>29.22</v>
      </c>
      <c r="G536" t="str">
        <f>HYPERLINK("https://www.ncbi.nlm.nih.gov/nucleotide/AP024418.1?report=genbank&amp;log$=nucltop&amp;blast_rank=58&amp;RID=1U8FZM71013","AP024418.1")</f>
        <v>AP024418.1</v>
      </c>
    </row>
    <row r="537" spans="1:7" x14ac:dyDescent="0.35">
      <c r="A537" s="4" t="s">
        <v>50</v>
      </c>
      <c r="B537" s="4">
        <v>173</v>
      </c>
      <c r="C537" s="4">
        <v>173</v>
      </c>
      <c r="D537" s="5">
        <v>0.74</v>
      </c>
      <c r="E537" s="6">
        <v>3E-43</v>
      </c>
      <c r="F537" s="4">
        <v>29.13</v>
      </c>
      <c r="G537" s="4" t="str">
        <f>HYPERLINK("https://www.ncbi.nlm.nih.gov/nucleotide/XM_032058508.1?report=genbank&amp;log$=nucltop&amp;blast_rank=59&amp;RID=1U8FZM71013","XM_032058508.1")</f>
        <v>XM_032058508.1</v>
      </c>
    </row>
    <row r="538" spans="1:7" x14ac:dyDescent="0.35">
      <c r="A538" t="s">
        <v>90</v>
      </c>
      <c r="B538">
        <v>170</v>
      </c>
      <c r="C538">
        <v>170</v>
      </c>
      <c r="D538" s="2">
        <v>0.72</v>
      </c>
      <c r="E538" s="3">
        <v>2E-41</v>
      </c>
      <c r="F538">
        <v>29.12</v>
      </c>
      <c r="G538" t="str">
        <f>HYPERLINK("https://www.ncbi.nlm.nih.gov/nucleotide/XM_025683366.1?report=genbank&amp;log$=nucltop&amp;blast_rank=60&amp;RID=1U8FZM71013","XM_025683366.1")</f>
        <v>XM_025683366.1</v>
      </c>
    </row>
    <row r="539" spans="1:7" x14ac:dyDescent="0.35">
      <c r="A539" t="s">
        <v>49</v>
      </c>
      <c r="B539">
        <v>149</v>
      </c>
      <c r="C539">
        <v>149</v>
      </c>
      <c r="D539" s="2">
        <v>0.76</v>
      </c>
      <c r="E539" s="3">
        <v>1.9999999999999999E-34</v>
      </c>
      <c r="F539">
        <v>29.08</v>
      </c>
      <c r="G539" t="str">
        <f>HYPERLINK("https://www.ncbi.nlm.nih.gov/nucleotide/XM_001217916.1?report=genbank&amp;log$=nucltop&amp;blast_rank=61&amp;RID=1U8FZM71013","XM_001217916.1")</f>
        <v>XM_001217916.1</v>
      </c>
    </row>
    <row r="540" spans="1:7" x14ac:dyDescent="0.35">
      <c r="A540" t="s">
        <v>79</v>
      </c>
      <c r="B540">
        <v>165</v>
      </c>
      <c r="C540">
        <v>165</v>
      </c>
      <c r="D540" s="2">
        <v>0.66</v>
      </c>
      <c r="E540" s="3">
        <v>1.9999999999999999E-40</v>
      </c>
      <c r="F540">
        <v>29.04</v>
      </c>
      <c r="G540" t="str">
        <f>HYPERLINK("https://www.ncbi.nlm.nih.gov/nucleotide/XM_033553550.1?report=genbank&amp;log$=nucltop&amp;blast_rank=62&amp;RID=1U8FZM71013","XM_033553550.1")</f>
        <v>XM_033553550.1</v>
      </c>
    </row>
    <row r="541" spans="1:7" x14ac:dyDescent="0.35">
      <c r="A541" t="s">
        <v>68</v>
      </c>
      <c r="B541">
        <v>149</v>
      </c>
      <c r="C541">
        <v>149</v>
      </c>
      <c r="D541" s="2">
        <v>0.63</v>
      </c>
      <c r="E541" s="3">
        <v>7.9999999999999995E-36</v>
      </c>
      <c r="F541">
        <v>28.98</v>
      </c>
      <c r="G541" t="str">
        <f>HYPERLINK("https://www.ncbi.nlm.nih.gov/nucleotide/XM_001262908.1?report=genbank&amp;log$=nucltop&amp;blast_rank=63&amp;RID=1U8FZM71013","XM_001262908.1")</f>
        <v>XM_001262908.1</v>
      </c>
    </row>
    <row r="542" spans="1:7" x14ac:dyDescent="0.35">
      <c r="A542" t="s">
        <v>474</v>
      </c>
      <c r="B542">
        <v>80.900000000000006</v>
      </c>
      <c r="C542">
        <v>160</v>
      </c>
      <c r="D542" s="2">
        <v>0.63</v>
      </c>
      <c r="E542" s="3">
        <v>3.0000000000000003E-29</v>
      </c>
      <c r="F542">
        <v>28.84</v>
      </c>
      <c r="G542" t="str">
        <f>HYPERLINK("https://www.ncbi.nlm.nih.gov/nucleotide/CP061806.1?report=genbank&amp;log$=nucltop&amp;blast_rank=64&amp;RID=1U8FZM71013","CP061806.1")</f>
        <v>CP061806.1</v>
      </c>
    </row>
    <row r="543" spans="1:7" x14ac:dyDescent="0.35">
      <c r="A543" t="s">
        <v>475</v>
      </c>
      <c r="B543">
        <v>80.900000000000006</v>
      </c>
      <c r="C543">
        <v>160</v>
      </c>
      <c r="D543" s="2">
        <v>0.63</v>
      </c>
      <c r="E543" s="3">
        <v>3.0000000000000003E-29</v>
      </c>
      <c r="F543">
        <v>28.84</v>
      </c>
      <c r="G543" t="str">
        <f>HYPERLINK("https://www.ncbi.nlm.nih.gov/nucleotide/CP051037.1?report=genbank&amp;log$=nucltop&amp;blast_rank=65&amp;RID=1U8FZM71013","CP051037.1")</f>
        <v>CP051037.1</v>
      </c>
    </row>
    <row r="544" spans="1:7" x14ac:dyDescent="0.35">
      <c r="A544" t="s">
        <v>476</v>
      </c>
      <c r="B544">
        <v>80.900000000000006</v>
      </c>
      <c r="C544">
        <v>160</v>
      </c>
      <c r="D544" s="2">
        <v>0.63</v>
      </c>
      <c r="E544" s="3">
        <v>3.0000000000000003E-29</v>
      </c>
      <c r="F544">
        <v>28.84</v>
      </c>
      <c r="G544" t="str">
        <f>HYPERLINK("https://www.ncbi.nlm.nih.gov/nucleotide/CP051029.1?report=genbank&amp;log$=nucltop&amp;blast_rank=66&amp;RID=1U8FZM71013","CP051029.1")</f>
        <v>CP051029.1</v>
      </c>
    </row>
    <row r="545" spans="1:7" x14ac:dyDescent="0.35">
      <c r="A545" t="s">
        <v>477</v>
      </c>
      <c r="B545">
        <v>80.900000000000006</v>
      </c>
      <c r="C545">
        <v>160</v>
      </c>
      <c r="D545" s="2">
        <v>0.63</v>
      </c>
      <c r="E545" s="3">
        <v>3.0000000000000003E-29</v>
      </c>
      <c r="F545">
        <v>28.84</v>
      </c>
      <c r="G545" t="str">
        <f>HYPERLINK("https://www.ncbi.nlm.nih.gov/nucleotide/CP044620.1?report=genbank&amp;log$=nucltop&amp;blast_rank=67&amp;RID=1U8FZM71013","CP044620.1")</f>
        <v>CP044620.1</v>
      </c>
    </row>
    <row r="546" spans="1:7" x14ac:dyDescent="0.35">
      <c r="A546" t="s">
        <v>478</v>
      </c>
      <c r="B546">
        <v>80.900000000000006</v>
      </c>
      <c r="C546">
        <v>160</v>
      </c>
      <c r="D546" s="2">
        <v>0.63</v>
      </c>
      <c r="E546" s="3">
        <v>3.0000000000000003E-29</v>
      </c>
      <c r="F546">
        <v>28.84</v>
      </c>
      <c r="G546" t="str">
        <f>HYPERLINK("https://www.ncbi.nlm.nih.gov/nucleotide/CP059868.1?report=genbank&amp;log$=nucltop&amp;blast_rank=68&amp;RID=1U8FZM71013","CP059868.1")</f>
        <v>CP059868.1</v>
      </c>
    </row>
    <row r="547" spans="1:7" x14ac:dyDescent="0.35">
      <c r="A547" t="s">
        <v>479</v>
      </c>
      <c r="B547">
        <v>80.900000000000006</v>
      </c>
      <c r="C547">
        <v>160</v>
      </c>
      <c r="D547" s="2">
        <v>0.63</v>
      </c>
      <c r="E547" s="3">
        <v>3.0000000000000003E-29</v>
      </c>
      <c r="F547">
        <v>28.84</v>
      </c>
      <c r="G547" t="str">
        <f>HYPERLINK("https://www.ncbi.nlm.nih.gov/nucleotide/CP051053.1?report=genbank&amp;log$=nucltop&amp;blast_rank=69&amp;RID=1U8FZM71013","CP051053.1")</f>
        <v>CP051053.1</v>
      </c>
    </row>
    <row r="548" spans="1:7" x14ac:dyDescent="0.35">
      <c r="A548" t="s">
        <v>480</v>
      </c>
      <c r="B548">
        <v>80.900000000000006</v>
      </c>
      <c r="C548">
        <v>160</v>
      </c>
      <c r="D548" s="2">
        <v>0.63</v>
      </c>
      <c r="E548" s="3">
        <v>3.0000000000000003E-29</v>
      </c>
      <c r="F548">
        <v>28.84</v>
      </c>
      <c r="G548" t="str">
        <f>HYPERLINK("https://www.ncbi.nlm.nih.gov/nucleotide/CP059860.1?report=genbank&amp;log$=nucltop&amp;blast_rank=70&amp;RID=1U8FZM71013","CP059860.1")</f>
        <v>CP059860.1</v>
      </c>
    </row>
    <row r="549" spans="1:7" x14ac:dyDescent="0.35">
      <c r="A549" t="s">
        <v>481</v>
      </c>
      <c r="B549">
        <v>80.900000000000006</v>
      </c>
      <c r="C549">
        <v>160</v>
      </c>
      <c r="D549" s="2">
        <v>0.63</v>
      </c>
      <c r="E549" s="3">
        <v>3.0000000000000003E-29</v>
      </c>
      <c r="F549">
        <v>28.84</v>
      </c>
      <c r="G549" t="str">
        <f>HYPERLINK("https://www.ncbi.nlm.nih.gov/nucleotide/CP051045.1?report=genbank&amp;log$=nucltop&amp;blast_rank=71&amp;RID=1U8FZM71013","CP051045.1")</f>
        <v>CP051045.1</v>
      </c>
    </row>
    <row r="550" spans="1:7" x14ac:dyDescent="0.35">
      <c r="A550" t="s">
        <v>482</v>
      </c>
      <c r="B550">
        <v>80.5</v>
      </c>
      <c r="C550">
        <v>160</v>
      </c>
      <c r="D550" s="2">
        <v>0.63</v>
      </c>
      <c r="E550" s="3">
        <v>3.9999999999999998E-29</v>
      </c>
      <c r="F550">
        <v>28.84</v>
      </c>
      <c r="G550" t="str">
        <f>HYPERLINK("https://www.ncbi.nlm.nih.gov/nucleotide/CP051069.1?report=genbank&amp;log$=nucltop&amp;blast_rank=72&amp;RID=1U8FZM71013","CP051069.1")</f>
        <v>CP051069.1</v>
      </c>
    </row>
    <row r="551" spans="1:7" x14ac:dyDescent="0.35">
      <c r="A551" t="s">
        <v>485</v>
      </c>
      <c r="B551">
        <v>80.900000000000006</v>
      </c>
      <c r="C551">
        <v>160</v>
      </c>
      <c r="D551" s="2">
        <v>0.63</v>
      </c>
      <c r="E551" s="3">
        <v>6.0000000000000005E-29</v>
      </c>
      <c r="F551">
        <v>28.84</v>
      </c>
      <c r="G551" t="str">
        <f>HYPERLINK("https://www.ncbi.nlm.nih.gov/nucleotide/CP051085.1?report=genbank&amp;log$=nucltop&amp;blast_rank=73&amp;RID=1U8FZM71013","CP051085.1")</f>
        <v>CP051085.1</v>
      </c>
    </row>
    <row r="552" spans="1:7" x14ac:dyDescent="0.35">
      <c r="A552" t="s">
        <v>486</v>
      </c>
      <c r="B552">
        <v>80.900000000000006</v>
      </c>
      <c r="C552">
        <v>160</v>
      </c>
      <c r="D552" s="2">
        <v>0.63</v>
      </c>
      <c r="E552" s="3">
        <v>6.0000000000000005E-29</v>
      </c>
      <c r="F552">
        <v>28.84</v>
      </c>
      <c r="G552" t="str">
        <f>HYPERLINK("https://www.ncbi.nlm.nih.gov/nucleotide/CP051061.1?report=genbank&amp;log$=nucltop&amp;blast_rank=74&amp;RID=1U8FZM71013","CP051061.1")</f>
        <v>CP051061.1</v>
      </c>
    </row>
    <row r="553" spans="1:7" x14ac:dyDescent="0.35">
      <c r="A553" t="s">
        <v>487</v>
      </c>
      <c r="B553">
        <v>80.900000000000006</v>
      </c>
      <c r="C553">
        <v>160</v>
      </c>
      <c r="D553" s="2">
        <v>0.63</v>
      </c>
      <c r="E553" s="3">
        <v>6.0000000000000005E-29</v>
      </c>
      <c r="F553">
        <v>28.84</v>
      </c>
      <c r="G553" t="str">
        <f>HYPERLINK("https://www.ncbi.nlm.nih.gov/nucleotide/CP051093.1?report=genbank&amp;log$=nucltop&amp;blast_rank=75&amp;RID=1U8FZM71013","CP051093.1")</f>
        <v>CP051093.1</v>
      </c>
    </row>
    <row r="554" spans="1:7" x14ac:dyDescent="0.35">
      <c r="A554" t="s">
        <v>488</v>
      </c>
      <c r="B554">
        <v>80.900000000000006</v>
      </c>
      <c r="C554">
        <v>160</v>
      </c>
      <c r="D554" s="2">
        <v>0.63</v>
      </c>
      <c r="E554" s="3">
        <v>6.0000000000000005E-29</v>
      </c>
      <c r="F554">
        <v>28.84</v>
      </c>
      <c r="G554" t="str">
        <f>HYPERLINK("https://www.ncbi.nlm.nih.gov/nucleotide/CP051021.1?report=genbank&amp;log$=nucltop&amp;blast_rank=76&amp;RID=1U8FZM71013","CP051021.1")</f>
        <v>CP051021.1</v>
      </c>
    </row>
    <row r="555" spans="1:7" x14ac:dyDescent="0.35">
      <c r="A555" t="s">
        <v>483</v>
      </c>
      <c r="B555">
        <v>80.900000000000006</v>
      </c>
      <c r="C555">
        <v>160</v>
      </c>
      <c r="D555" s="2">
        <v>0.63</v>
      </c>
      <c r="E555" s="3">
        <v>6.9999999999999995E-29</v>
      </c>
      <c r="F555">
        <v>28.84</v>
      </c>
      <c r="G555" t="str">
        <f>HYPERLINK("https://www.ncbi.nlm.nih.gov/nucleotide/CP047251.1?report=genbank&amp;log$=nucltop&amp;blast_rank=77&amp;RID=1U8FZM71013","CP047251.1")</f>
        <v>CP047251.1</v>
      </c>
    </row>
    <row r="556" spans="1:7" x14ac:dyDescent="0.35">
      <c r="A556" t="s">
        <v>484</v>
      </c>
      <c r="B556">
        <v>80.900000000000006</v>
      </c>
      <c r="C556">
        <v>160</v>
      </c>
      <c r="D556" s="2">
        <v>0.63</v>
      </c>
      <c r="E556" s="3">
        <v>6.9999999999999995E-29</v>
      </c>
      <c r="F556">
        <v>28.84</v>
      </c>
      <c r="G556" t="str">
        <f>HYPERLINK("https://www.ncbi.nlm.nih.gov/nucleotide/AP007157.1?report=genbank&amp;log$=nucltop&amp;blast_rank=78&amp;RID=1U8FZM71013","AP007157.1")</f>
        <v>AP007157.1</v>
      </c>
    </row>
    <row r="557" spans="1:7" x14ac:dyDescent="0.35">
      <c r="A557" t="s">
        <v>489</v>
      </c>
      <c r="B557">
        <v>80.900000000000006</v>
      </c>
      <c r="C557">
        <v>160</v>
      </c>
      <c r="D557" s="2">
        <v>0.63</v>
      </c>
      <c r="E557" s="3">
        <v>6.9999999999999995E-29</v>
      </c>
      <c r="F557">
        <v>28.84</v>
      </c>
      <c r="G557" t="str">
        <f>HYPERLINK("https://www.ncbi.nlm.nih.gov/nucleotide/CP051077.1?report=genbank&amp;log$=nucltop&amp;blast_rank=79&amp;RID=1U8FZM71013","CP051077.1")</f>
        <v>CP051077.1</v>
      </c>
    </row>
    <row r="558" spans="1:7" x14ac:dyDescent="0.35">
      <c r="A558" t="s">
        <v>40</v>
      </c>
      <c r="B558">
        <v>174</v>
      </c>
      <c r="C558">
        <v>174</v>
      </c>
      <c r="D558" s="2">
        <v>0.72</v>
      </c>
      <c r="E558" s="3">
        <v>2.0000000000000002E-43</v>
      </c>
      <c r="F558">
        <v>28.74</v>
      </c>
      <c r="G558" t="str">
        <f>HYPERLINK("https://www.ncbi.nlm.nih.gov/nucleotide/XM_022531473.1?report=genbank&amp;log$=nucltop&amp;blast_rank=80&amp;RID=1U8FZM71013","XM_022531473.1")</f>
        <v>XM_022531473.1</v>
      </c>
    </row>
    <row r="559" spans="1:7" x14ac:dyDescent="0.35">
      <c r="A559" t="s">
        <v>105</v>
      </c>
      <c r="B559">
        <v>142</v>
      </c>
      <c r="C559">
        <v>142</v>
      </c>
      <c r="D559" s="2">
        <v>0.69</v>
      </c>
      <c r="E559" s="3">
        <v>2.0000000000000002E-31</v>
      </c>
      <c r="F559">
        <v>28.64</v>
      </c>
      <c r="G559" t="str">
        <f>HYPERLINK("https://www.ncbi.nlm.nih.gov/nucleotide/XM_033555780.1?report=genbank&amp;log$=nucltop&amp;blast_rank=81&amp;RID=1U8FZM71013","XM_033555780.1")</f>
        <v>XM_033555780.1</v>
      </c>
    </row>
    <row r="560" spans="1:7" x14ac:dyDescent="0.35">
      <c r="A560" t="s">
        <v>491</v>
      </c>
      <c r="B560">
        <v>172</v>
      </c>
      <c r="C560">
        <v>172</v>
      </c>
      <c r="D560" s="2">
        <v>0.73</v>
      </c>
      <c r="E560" s="3">
        <v>6.0000000000000001E-43</v>
      </c>
      <c r="F560">
        <v>28.44</v>
      </c>
      <c r="G560" t="str">
        <f>HYPERLINK("https://www.ncbi.nlm.nih.gov/nucleotide/XM_039068458.1?report=genbank&amp;log$=nucltop&amp;blast_rank=82&amp;RID=1U8FZM71013","XM_039068458.1")</f>
        <v>XM_039068458.1</v>
      </c>
    </row>
    <row r="561" spans="1:7" x14ac:dyDescent="0.35">
      <c r="A561" t="s">
        <v>81</v>
      </c>
      <c r="B561">
        <v>130</v>
      </c>
      <c r="C561">
        <v>130</v>
      </c>
      <c r="D561" s="2">
        <v>0.7</v>
      </c>
      <c r="E561" s="3">
        <v>1.9999999999999999E-28</v>
      </c>
      <c r="F561">
        <v>28.23</v>
      </c>
      <c r="G561" t="str">
        <f>HYPERLINK("https://www.ncbi.nlm.nih.gov/nucleotide/XM_011327711.1?report=genbank&amp;log$=nucltop&amp;blast_rank=83&amp;RID=1U8FZM71013","XM_011327711.1")</f>
        <v>XM_011327711.1</v>
      </c>
    </row>
    <row r="562" spans="1:7" x14ac:dyDescent="0.35">
      <c r="A562" t="s">
        <v>89</v>
      </c>
      <c r="B562">
        <v>148</v>
      </c>
      <c r="C562">
        <v>148</v>
      </c>
      <c r="D562" s="2">
        <v>0.69</v>
      </c>
      <c r="E562" s="3">
        <v>6.9999999999999997E-34</v>
      </c>
      <c r="F562">
        <v>28.22</v>
      </c>
      <c r="G562" t="str">
        <f>HYPERLINK("https://www.ncbi.nlm.nih.gov/nucleotide/XM_024828224.1?report=genbank&amp;log$=nucltop&amp;blast_rank=84&amp;RID=1U8FZM71013","XM_024828224.1")</f>
        <v>XM_024828224.1</v>
      </c>
    </row>
    <row r="563" spans="1:7" x14ac:dyDescent="0.35">
      <c r="A563" s="4" t="s">
        <v>55</v>
      </c>
      <c r="B563" s="4">
        <v>171</v>
      </c>
      <c r="C563" s="4">
        <v>171</v>
      </c>
      <c r="D563" s="5">
        <v>0.74</v>
      </c>
      <c r="E563" s="6">
        <v>2.0000000000000001E-42</v>
      </c>
      <c r="F563" s="4">
        <v>28.09</v>
      </c>
      <c r="G563" s="4" t="str">
        <f>HYPERLINK("https://www.ncbi.nlm.nih.gov/nucleotide/XM_032074407.1?report=genbank&amp;log$=nucltop&amp;blast_rank=85&amp;RID=1U8FZM71013","XM_032074407.1")</f>
        <v>XM_032074407.1</v>
      </c>
    </row>
    <row r="564" spans="1:7" x14ac:dyDescent="0.35">
      <c r="A564" t="s">
        <v>42</v>
      </c>
      <c r="B564">
        <v>166</v>
      </c>
      <c r="C564">
        <v>166</v>
      </c>
      <c r="D564" s="2">
        <v>0.74</v>
      </c>
      <c r="E564" s="3">
        <v>9.9999999999999993E-41</v>
      </c>
      <c r="F564">
        <v>28.09</v>
      </c>
      <c r="G564" t="str">
        <f>HYPERLINK("https://www.ncbi.nlm.nih.gov/nucleotide/XM_015554209.1?report=genbank&amp;log$=nucltop&amp;blast_rank=86&amp;RID=1U8FZM71013","XM_015554209.1")</f>
        <v>XM_015554209.1</v>
      </c>
    </row>
    <row r="565" spans="1:7" x14ac:dyDescent="0.35">
      <c r="A565" t="s">
        <v>743</v>
      </c>
      <c r="B565">
        <v>131</v>
      </c>
      <c r="C565">
        <v>160</v>
      </c>
      <c r="D565" s="2">
        <v>0.7</v>
      </c>
      <c r="E565" s="3">
        <v>6.0000000000000005E-29</v>
      </c>
      <c r="F565">
        <v>28.09</v>
      </c>
      <c r="G565" t="str">
        <f>HYPERLINK("https://www.ncbi.nlm.nih.gov/nucleotide/CP066504.1?report=genbank&amp;log$=nucltop&amp;blast_rank=87&amp;RID=1U8FZM71013","CP066504.1")</f>
        <v>CP066504.1</v>
      </c>
    </row>
    <row r="566" spans="1:7" x14ac:dyDescent="0.35">
      <c r="A566" t="s">
        <v>77</v>
      </c>
      <c r="B566">
        <v>135</v>
      </c>
      <c r="C566">
        <v>135</v>
      </c>
      <c r="D566" s="2">
        <v>0.67</v>
      </c>
      <c r="E566" s="3">
        <v>9.9999999999999994E-30</v>
      </c>
      <c r="F566">
        <v>27.93</v>
      </c>
      <c r="G566" t="str">
        <f>HYPERLINK("https://www.ncbi.nlm.nih.gov/nucleotide/XM_025680603.1?report=genbank&amp;log$=nucltop&amp;blast_rank=88&amp;RID=1U8FZM71013","XM_025680603.1")</f>
        <v>XM_025680603.1</v>
      </c>
    </row>
    <row r="567" spans="1:7" x14ac:dyDescent="0.35">
      <c r="A567" t="s">
        <v>84</v>
      </c>
      <c r="B567">
        <v>158</v>
      </c>
      <c r="C567">
        <v>158</v>
      </c>
      <c r="D567" s="2">
        <v>0.69</v>
      </c>
      <c r="E567" s="3">
        <v>9.0000000000000002E-38</v>
      </c>
      <c r="F567">
        <v>27.92</v>
      </c>
      <c r="G567" t="str">
        <f>HYPERLINK("https://www.ncbi.nlm.nih.gov/nucleotide/XM_023599633.1?report=genbank&amp;log$=nucltop&amp;blast_rank=89&amp;RID=1U8FZM71013","XM_023599633.1")</f>
        <v>XM_023599633.1</v>
      </c>
    </row>
    <row r="568" spans="1:7" x14ac:dyDescent="0.35">
      <c r="A568" s="4" t="s">
        <v>47</v>
      </c>
      <c r="B568" s="4">
        <v>166</v>
      </c>
      <c r="C568" s="4">
        <v>166</v>
      </c>
      <c r="D568" s="5">
        <v>0.74</v>
      </c>
      <c r="E568" s="6">
        <v>9.9999999999999993E-41</v>
      </c>
      <c r="F568" s="4">
        <v>27.87</v>
      </c>
      <c r="G568" s="4" t="str">
        <f>HYPERLINK("https://www.ncbi.nlm.nih.gov/nucleotide/XM_032089869.1?report=genbank&amp;log$=nucltop&amp;blast_rank=90&amp;RID=1U8FZM71013","XM_032089869.1")</f>
        <v>XM_032089869.1</v>
      </c>
    </row>
    <row r="569" spans="1:7" x14ac:dyDescent="0.35">
      <c r="A569" t="s">
        <v>82</v>
      </c>
      <c r="B569">
        <v>138</v>
      </c>
      <c r="C569">
        <v>138</v>
      </c>
      <c r="D569" s="2">
        <v>0.64</v>
      </c>
      <c r="E569" s="3">
        <v>8.0000000000000004E-32</v>
      </c>
      <c r="F569">
        <v>27.82</v>
      </c>
      <c r="G569" t="str">
        <f>HYPERLINK("https://www.ncbi.nlm.nih.gov/nucleotide/XM_033601052.1?report=genbank&amp;log$=nucltop&amp;blast_rank=91&amp;RID=1U8FZM71013","XM_033601052.1")</f>
        <v>XM_033601052.1</v>
      </c>
    </row>
    <row r="570" spans="1:7" x14ac:dyDescent="0.35">
      <c r="A570" t="s">
        <v>98</v>
      </c>
      <c r="B570">
        <v>132</v>
      </c>
      <c r="C570">
        <v>235</v>
      </c>
      <c r="D570" s="2">
        <v>0.73</v>
      </c>
      <c r="E570" s="3">
        <v>3.9999999999999999E-28</v>
      </c>
      <c r="F570">
        <v>27.59</v>
      </c>
      <c r="G570" t="str">
        <f>HYPERLINK("https://www.ncbi.nlm.nih.gov/nucleotide/XM_026749516.1?report=genbank&amp;log$=nucltop&amp;blast_rank=92&amp;RID=1U8FZM71013","XM_026749516.1")</f>
        <v>XM_026749516.1</v>
      </c>
    </row>
    <row r="571" spans="1:7" x14ac:dyDescent="0.35">
      <c r="A571" t="s">
        <v>96</v>
      </c>
      <c r="B571">
        <v>136</v>
      </c>
      <c r="C571">
        <v>136</v>
      </c>
      <c r="D571" s="2">
        <v>0.72</v>
      </c>
      <c r="E571" s="3">
        <v>9.9999999999999994E-30</v>
      </c>
      <c r="F571">
        <v>27</v>
      </c>
      <c r="G571" t="str">
        <f>HYPERLINK("https://www.ncbi.nlm.nih.gov/nucleotide/XM_026772820.1?report=genbank&amp;log$=nucltop&amp;blast_rank=93&amp;RID=1U8FZM71013","XM_026772820.1")</f>
        <v>XM_026772820.1</v>
      </c>
    </row>
    <row r="572" spans="1:7" x14ac:dyDescent="0.35">
      <c r="A572" t="s">
        <v>97</v>
      </c>
      <c r="B572">
        <v>151</v>
      </c>
      <c r="C572">
        <v>151</v>
      </c>
      <c r="D572" s="2">
        <v>0.69</v>
      </c>
      <c r="E572" s="3">
        <v>2.9999999999999999E-35</v>
      </c>
      <c r="F572">
        <v>26.76</v>
      </c>
      <c r="G572" t="str">
        <f>HYPERLINK("https://www.ncbi.nlm.nih.gov/nucleotide/XM_035484606.1?report=genbank&amp;log$=nucltop&amp;blast_rank=94&amp;RID=1U8FZM71013","XM_035484606.1")</f>
        <v>XM_035484606.1</v>
      </c>
    </row>
    <row r="573" spans="1:7" x14ac:dyDescent="0.35">
      <c r="A573" t="s">
        <v>78</v>
      </c>
      <c r="B573">
        <v>127</v>
      </c>
      <c r="C573">
        <v>127</v>
      </c>
      <c r="D573" s="2">
        <v>0.71</v>
      </c>
      <c r="E573" s="3">
        <v>5.0000000000000002E-28</v>
      </c>
      <c r="F573">
        <v>26.76</v>
      </c>
      <c r="G573" t="str">
        <f>HYPERLINK("https://www.ncbi.nlm.nih.gov/nucleotide/XM_001262909.1?report=genbank&amp;log$=nucltop&amp;blast_rank=95&amp;RID=1U8FZM71013","XM_001262909.1")</f>
        <v>XM_001262909.1</v>
      </c>
    </row>
    <row r="574" spans="1:7" x14ac:dyDescent="0.35">
      <c r="A574" t="s">
        <v>87</v>
      </c>
      <c r="B574">
        <v>137</v>
      </c>
      <c r="C574">
        <v>137</v>
      </c>
      <c r="D574" s="2">
        <v>0.69</v>
      </c>
      <c r="E574" s="3">
        <v>4.9999999999999997E-30</v>
      </c>
      <c r="F574">
        <v>26.7</v>
      </c>
      <c r="G574" t="str">
        <f>HYPERLINK("https://www.ncbi.nlm.nih.gov/nucleotide/XM_007819030.2?report=genbank&amp;log$=nucltop&amp;blast_rank=96&amp;RID=1U8FZM71013","XM_007819030.2")</f>
        <v>XM_007819030.2</v>
      </c>
    </row>
    <row r="575" spans="1:7" x14ac:dyDescent="0.35">
      <c r="A575" t="s">
        <v>71</v>
      </c>
      <c r="B575">
        <v>135</v>
      </c>
      <c r="C575">
        <v>135</v>
      </c>
      <c r="D575" s="2">
        <v>0.71</v>
      </c>
      <c r="E575" s="3">
        <v>9.9999999999999994E-30</v>
      </c>
      <c r="F575">
        <v>26.53</v>
      </c>
      <c r="G575" t="str">
        <f>HYPERLINK("https://www.ncbi.nlm.nih.gov/nucleotide/XM_025658697.1?report=genbank&amp;log$=nucltop&amp;blast_rank=97&amp;RID=1U8FZM71013","XM_025658697.1")</f>
        <v>XM_025658697.1</v>
      </c>
    </row>
    <row r="576" spans="1:7" x14ac:dyDescent="0.35">
      <c r="A576" t="s">
        <v>86</v>
      </c>
      <c r="B576">
        <v>135</v>
      </c>
      <c r="C576">
        <v>171</v>
      </c>
      <c r="D576" s="2">
        <v>0.71</v>
      </c>
      <c r="E576" s="3">
        <v>3E-32</v>
      </c>
      <c r="F576">
        <v>26.51</v>
      </c>
      <c r="G576" t="str">
        <f>HYPERLINK("https://www.ncbi.nlm.nih.gov/nucleotide/AM920428.1?report=genbank&amp;log$=nucltop&amp;blast_rank=98&amp;RID=1U8FZM71013","AM920428.1")</f>
        <v>AM920428.1</v>
      </c>
    </row>
    <row r="577" spans="1:7" x14ac:dyDescent="0.35">
      <c r="A577" t="s">
        <v>64</v>
      </c>
      <c r="B577">
        <v>132</v>
      </c>
      <c r="C577">
        <v>132</v>
      </c>
      <c r="D577" s="2">
        <v>0.72</v>
      </c>
      <c r="E577" s="3">
        <v>1.9999999999999999E-28</v>
      </c>
      <c r="F577">
        <v>26.34</v>
      </c>
      <c r="G577" t="str">
        <f>HYPERLINK("https://www.ncbi.nlm.nih.gov/nucleotide/XM_025524425.1?report=genbank&amp;log$=nucltop&amp;blast_rank=99&amp;RID=1U8FZM71013","XM_025524425.1")</f>
        <v>XM_025524425.1</v>
      </c>
    </row>
    <row r="578" spans="1:7" x14ac:dyDescent="0.35">
      <c r="A578" s="4" t="s">
        <v>99</v>
      </c>
      <c r="B578" s="4">
        <v>134</v>
      </c>
      <c r="C578" s="4">
        <v>134</v>
      </c>
      <c r="D578" s="5">
        <v>0.69</v>
      </c>
      <c r="E578" s="6">
        <v>6.0000000000000005E-29</v>
      </c>
      <c r="F578" s="4">
        <v>25.6</v>
      </c>
      <c r="G578" s="4" t="str">
        <f>HYPERLINK("https://www.ncbi.nlm.nih.gov/nucleotide/XM_014687487.1?report=genbank&amp;log$=nucltop&amp;blast_rank=100&amp;RID=1U8FZM71013","XM_014687487.1")</f>
        <v>XM_014687487.1</v>
      </c>
    </row>
    <row r="579" spans="1:7" x14ac:dyDescent="0.35">
      <c r="A579" s="1" t="s">
        <v>1459</v>
      </c>
    </row>
    <row r="580" spans="1:7" s="1" customFormat="1" x14ac:dyDescent="0.35">
      <c r="A580" s="1" t="s">
        <v>2</v>
      </c>
      <c r="B580" s="1" t="s">
        <v>3</v>
      </c>
      <c r="C580" s="1" t="s">
        <v>4</v>
      </c>
      <c r="D580" s="1" t="s">
        <v>5</v>
      </c>
      <c r="E580" s="1" t="s">
        <v>6</v>
      </c>
      <c r="F580" s="1" t="s">
        <v>7</v>
      </c>
      <c r="G580" s="1" t="s">
        <v>8</v>
      </c>
    </row>
    <row r="581" spans="1:7" x14ac:dyDescent="0.35">
      <c r="A581" t="s">
        <v>37</v>
      </c>
      <c r="B581">
        <v>117</v>
      </c>
      <c r="C581">
        <v>230</v>
      </c>
      <c r="D581" s="2">
        <v>0.89</v>
      </c>
      <c r="E581" s="3">
        <v>6E-51</v>
      </c>
      <c r="F581">
        <v>78.08</v>
      </c>
      <c r="G581" t="str">
        <f>HYPERLINK("https://www.ncbi.nlm.nih.gov/nucleotide/LR732085.1?report=genbank&amp;log$=nucltop&amp;blast_rank=1&amp;RID=1U8GHXPR016","LR732085.1")</f>
        <v>LR732085.1</v>
      </c>
    </row>
    <row r="582" spans="1:7" x14ac:dyDescent="0.35">
      <c r="A582" t="s">
        <v>553</v>
      </c>
      <c r="B582">
        <v>50.1</v>
      </c>
      <c r="C582">
        <v>50.1</v>
      </c>
      <c r="D582" s="2">
        <v>0.35</v>
      </c>
      <c r="E582">
        <v>1E-3</v>
      </c>
      <c r="F582">
        <v>43.06</v>
      </c>
      <c r="G582" t="str">
        <f>HYPERLINK("https://www.ncbi.nlm.nih.gov/nucleotide/XM_027759404.1?report=genbank&amp;log$=nucltop&amp;blast_rank=2&amp;RID=1U8GHXPR016","XM_027759404.1")</f>
        <v>XM_027759404.1</v>
      </c>
    </row>
    <row r="583" spans="1:7" x14ac:dyDescent="0.35">
      <c r="A583" t="s">
        <v>531</v>
      </c>
      <c r="B583">
        <v>78.2</v>
      </c>
      <c r="C583">
        <v>78.2</v>
      </c>
      <c r="D583" s="2">
        <v>0.74</v>
      </c>
      <c r="E583" s="3">
        <v>8.9999999999999995E-14</v>
      </c>
      <c r="F583">
        <v>37.21</v>
      </c>
      <c r="G583" t="str">
        <f>HYPERLINK("https://www.ncbi.nlm.nih.gov/nucleotide/XM_003026747.1?report=genbank&amp;log$=nucltop&amp;blast_rank=3&amp;RID=1U8GHXPR016","XM_003026747.1")</f>
        <v>XM_003026747.1</v>
      </c>
    </row>
    <row r="584" spans="1:7" x14ac:dyDescent="0.35">
      <c r="A584" t="s">
        <v>405</v>
      </c>
      <c r="B584">
        <v>49.7</v>
      </c>
      <c r="C584">
        <v>49.7</v>
      </c>
      <c r="D584" s="2">
        <v>0.37</v>
      </c>
      <c r="E584">
        <v>5.0000000000000001E-3</v>
      </c>
      <c r="F584">
        <v>37.21</v>
      </c>
      <c r="G584" t="str">
        <f>HYPERLINK("https://www.ncbi.nlm.nih.gov/nucleotide/CP019382.1?report=genbank&amp;log$=nucltop&amp;blast_rank=4&amp;RID=1U8GHXPR016","CP019382.1")</f>
        <v>CP019382.1</v>
      </c>
    </row>
    <row r="585" spans="1:7" x14ac:dyDescent="0.35">
      <c r="A585" s="4" t="s">
        <v>527</v>
      </c>
      <c r="B585" s="4">
        <v>73.900000000000006</v>
      </c>
      <c r="C585" s="4">
        <v>73.900000000000006</v>
      </c>
      <c r="D585" s="5">
        <v>0.81</v>
      </c>
      <c r="E585" s="6">
        <v>3.0000000000000001E-12</v>
      </c>
      <c r="F585" s="4">
        <v>36.68</v>
      </c>
      <c r="G585" s="4" t="str">
        <f>HYPERLINK("https://www.ncbi.nlm.nih.gov/nucleotide/XM_037362815.1?report=genbank&amp;log$=nucltop&amp;blast_rank=5&amp;RID=1U8GHXPR016","XM_037362815.1")</f>
        <v>XM_037362815.1</v>
      </c>
    </row>
    <row r="586" spans="1:7" x14ac:dyDescent="0.35">
      <c r="A586" t="s">
        <v>109</v>
      </c>
      <c r="B586">
        <v>63.5</v>
      </c>
      <c r="C586">
        <v>63.5</v>
      </c>
      <c r="D586" s="2">
        <v>0.8</v>
      </c>
      <c r="E586" s="3">
        <v>4.0000000000000001E-8</v>
      </c>
      <c r="F586">
        <v>35</v>
      </c>
      <c r="G586" t="str">
        <f>HYPERLINK("https://www.ncbi.nlm.nih.gov/nucleotide/XM_007871865.1?report=genbank&amp;log$=nucltop&amp;blast_rank=6&amp;RID=1U8GHXPR016","XM_007871865.1")</f>
        <v>XM_007871865.1</v>
      </c>
    </row>
    <row r="587" spans="1:7" x14ac:dyDescent="0.35">
      <c r="A587" t="s">
        <v>544</v>
      </c>
      <c r="B587">
        <v>60.8</v>
      </c>
      <c r="C587">
        <v>60.8</v>
      </c>
      <c r="D587" s="2">
        <v>0.76</v>
      </c>
      <c r="E587" s="3">
        <v>2.9999999999999999E-7</v>
      </c>
      <c r="F587">
        <v>32.82</v>
      </c>
      <c r="G587" t="str">
        <f>HYPERLINK("https://www.ncbi.nlm.nih.gov/nucleotide/XM_007387247.1?report=genbank&amp;log$=nucltop&amp;blast_rank=7&amp;RID=1U8GHXPR016","XM_007387247.1")</f>
        <v>XM_007387247.1</v>
      </c>
    </row>
    <row r="588" spans="1:7" x14ac:dyDescent="0.35">
      <c r="A588" t="s">
        <v>204</v>
      </c>
      <c r="B588">
        <v>68.599999999999994</v>
      </c>
      <c r="C588">
        <v>68.599999999999994</v>
      </c>
      <c r="D588" s="2">
        <v>0.9</v>
      </c>
      <c r="E588" s="3">
        <v>5.0000000000000003E-10</v>
      </c>
      <c r="F588">
        <v>31.53</v>
      </c>
      <c r="G588" t="str">
        <f>HYPERLINK("https://www.ncbi.nlm.nih.gov/nucleotide/XM_008043238.1?report=genbank&amp;log$=nucltop&amp;blast_rank=8&amp;RID=1U8GHXPR016","XM_008043238.1")</f>
        <v>XM_008043238.1</v>
      </c>
    </row>
    <row r="589" spans="1:7" x14ac:dyDescent="0.35">
      <c r="A589" s="4" t="s">
        <v>548</v>
      </c>
      <c r="B589" s="4">
        <v>55.5</v>
      </c>
      <c r="C589" s="4">
        <v>55.5</v>
      </c>
      <c r="D589" s="5">
        <v>0.81</v>
      </c>
      <c r="E589" s="6">
        <v>1.0000000000000001E-5</v>
      </c>
      <c r="F589" s="4">
        <v>31.5</v>
      </c>
      <c r="G589" s="4" t="str">
        <f>HYPERLINK("https://www.ncbi.nlm.nih.gov/nucleotide/LR724312.1?report=genbank&amp;log$=nucltop&amp;blast_rank=9&amp;RID=1U8GHXPR016","LR724312.1")</f>
        <v>LR724312.1</v>
      </c>
    </row>
    <row r="590" spans="1:7" x14ac:dyDescent="0.35">
      <c r="A590" t="s">
        <v>120</v>
      </c>
      <c r="B590">
        <v>71.2</v>
      </c>
      <c r="C590">
        <v>71.2</v>
      </c>
      <c r="D590" s="2">
        <v>0.9</v>
      </c>
      <c r="E590" s="3">
        <v>3.9999999999999998E-11</v>
      </c>
      <c r="F590">
        <v>31.33</v>
      </c>
      <c r="G590" t="str">
        <f>HYPERLINK("https://www.ncbi.nlm.nih.gov/nucleotide/XM_012328251.1?report=genbank&amp;log$=nucltop&amp;blast_rank=10&amp;RID=1U8GHXPR016","XM_012328251.1")</f>
        <v>XM_012328251.1</v>
      </c>
    </row>
    <row r="591" spans="1:7" x14ac:dyDescent="0.35">
      <c r="A591" s="4" t="s">
        <v>542</v>
      </c>
      <c r="B591" s="4">
        <v>62</v>
      </c>
      <c r="C591" s="4">
        <v>62</v>
      </c>
      <c r="D591" s="5">
        <v>0.79</v>
      </c>
      <c r="E591" s="6">
        <v>1.9999999999999999E-7</v>
      </c>
      <c r="F591" s="4">
        <v>31.22</v>
      </c>
      <c r="G591" s="4" t="str">
        <f>HYPERLINK("https://www.ncbi.nlm.nih.gov/nucleotide/XM_001889471.1?report=genbank&amp;log$=nucltop&amp;blast_rank=11&amp;RID=1U8GHXPR016","XM_001889471.1")</f>
        <v>XM_001889471.1</v>
      </c>
    </row>
    <row r="592" spans="1:7" x14ac:dyDescent="0.35">
      <c r="A592" t="s">
        <v>543</v>
      </c>
      <c r="B592">
        <v>61.2</v>
      </c>
      <c r="C592">
        <v>61.2</v>
      </c>
      <c r="D592" s="2">
        <v>0.75</v>
      </c>
      <c r="E592" s="3">
        <v>1.9999999999999999E-7</v>
      </c>
      <c r="F592">
        <v>31.07</v>
      </c>
      <c r="G592" t="str">
        <f>HYPERLINK("https://www.ncbi.nlm.nih.gov/nucleotide/XM_036771613.1?report=genbank&amp;log$=nucltop&amp;blast_rank=12&amp;RID=1U8GHXPR016","XM_036771613.1")</f>
        <v>XM_036771613.1</v>
      </c>
    </row>
    <row r="593" spans="1:7" x14ac:dyDescent="0.35">
      <c r="A593" t="s">
        <v>550</v>
      </c>
      <c r="B593">
        <v>67.400000000000006</v>
      </c>
      <c r="C593">
        <v>67.400000000000006</v>
      </c>
      <c r="D593" s="2">
        <v>0.9</v>
      </c>
      <c r="E593" s="3">
        <v>1.0000000000000001E-9</v>
      </c>
      <c r="F593">
        <v>30.63</v>
      </c>
      <c r="G593" t="str">
        <f>HYPERLINK("https://www.ncbi.nlm.nih.gov/nucleotide/XM_024488823.1?report=genbank&amp;log$=nucltop&amp;blast_rank=13&amp;RID=1U8GHXPR016","XM_024488823.1")</f>
        <v>XM_024488823.1</v>
      </c>
    </row>
    <row r="594" spans="1:7" x14ac:dyDescent="0.35">
      <c r="A594" t="s">
        <v>556</v>
      </c>
      <c r="B594">
        <v>72</v>
      </c>
      <c r="C594">
        <v>72</v>
      </c>
      <c r="D594" s="2">
        <v>0.81</v>
      </c>
      <c r="E594" s="3">
        <v>6E-11</v>
      </c>
      <c r="F594">
        <v>30.18</v>
      </c>
      <c r="G594" t="str">
        <f>HYPERLINK("https://www.ncbi.nlm.nih.gov/nucleotide/XM_007323234.1?report=genbank&amp;log$=nucltop&amp;blast_rank=14&amp;RID=1U8GHXPR016","XM_007323234.1")</f>
        <v>XM_007323234.1</v>
      </c>
    </row>
    <row r="595" spans="1:7" x14ac:dyDescent="0.35">
      <c r="A595" t="s">
        <v>126</v>
      </c>
      <c r="B595">
        <v>50.8</v>
      </c>
      <c r="C595">
        <v>50.8</v>
      </c>
      <c r="D595" s="2">
        <v>0.79</v>
      </c>
      <c r="E595">
        <v>1E-3</v>
      </c>
      <c r="F595">
        <v>29.61</v>
      </c>
      <c r="G595" t="str">
        <f>HYPERLINK("https://www.ncbi.nlm.nih.gov/nucleotide/XM_007776238.1?report=genbank&amp;log$=nucltop&amp;blast_rank=15&amp;RID=1U8GHXPR016","XM_007776238.1")</f>
        <v>XM_007776238.1</v>
      </c>
    </row>
    <row r="596" spans="1:7" x14ac:dyDescent="0.35">
      <c r="A596" t="s">
        <v>549</v>
      </c>
      <c r="B596">
        <v>60.5</v>
      </c>
      <c r="C596">
        <v>60.5</v>
      </c>
      <c r="D596" s="2">
        <v>0.81</v>
      </c>
      <c r="E596" s="3">
        <v>2.9999999999999999E-7</v>
      </c>
      <c r="F596">
        <v>29.52</v>
      </c>
      <c r="G596" t="str">
        <f>HYPERLINK("https://www.ncbi.nlm.nih.gov/nucleotide/XM_007363302.1?report=genbank&amp;log$=nucltop&amp;blast_rank=16&amp;RID=1U8GHXPR016","XM_007363302.1")</f>
        <v>XM_007363302.1</v>
      </c>
    </row>
    <row r="597" spans="1:7" x14ac:dyDescent="0.35">
      <c r="A597" t="s">
        <v>555</v>
      </c>
      <c r="B597">
        <v>63.5</v>
      </c>
      <c r="C597">
        <v>63.5</v>
      </c>
      <c r="D597" s="2">
        <v>0.81</v>
      </c>
      <c r="E597" s="3">
        <v>4.9999999999999998E-8</v>
      </c>
      <c r="F597">
        <v>29.44</v>
      </c>
      <c r="G597" t="str">
        <f>HYPERLINK("https://www.ncbi.nlm.nih.gov/nucleotide/XM_009554598.1?report=genbank&amp;log$=nucltop&amp;blast_rank=17&amp;RID=1U8GHXPR016","XM_009554598.1")</f>
        <v>XM_009554598.1</v>
      </c>
    </row>
    <row r="598" spans="1:7" x14ac:dyDescent="0.35">
      <c r="A598" t="s">
        <v>558</v>
      </c>
      <c r="B598">
        <v>48.5</v>
      </c>
      <c r="C598">
        <v>48.5</v>
      </c>
      <c r="D598" s="2">
        <v>0.81</v>
      </c>
      <c r="E598">
        <v>4.0000000000000001E-3</v>
      </c>
      <c r="F598">
        <v>28.71</v>
      </c>
      <c r="G598" t="str">
        <f>HYPERLINK("https://www.ncbi.nlm.nih.gov/nucleotide/XM_007261781.1?report=genbank&amp;log$=nucltop&amp;blast_rank=18&amp;RID=1U8GHXPR016","XM_007261781.1")</f>
        <v>XM_007261781.1</v>
      </c>
    </row>
    <row r="599" spans="1:7" x14ac:dyDescent="0.35">
      <c r="A599" s="1" t="s">
        <v>1460</v>
      </c>
    </row>
    <row r="600" spans="1:7" x14ac:dyDescent="0.35">
      <c r="A600" s="1" t="s">
        <v>2</v>
      </c>
      <c r="B600" s="1" t="s">
        <v>3</v>
      </c>
      <c r="C600" s="1" t="s">
        <v>4</v>
      </c>
      <c r="D600" s="1" t="s">
        <v>5</v>
      </c>
      <c r="E600" s="1" t="s">
        <v>6</v>
      </c>
      <c r="F600" s="1" t="s">
        <v>7</v>
      </c>
      <c r="G600" s="1" t="s">
        <v>8</v>
      </c>
    </row>
    <row r="601" spans="1:7" x14ac:dyDescent="0.35">
      <c r="A601" s="4" t="s">
        <v>565</v>
      </c>
      <c r="B601" s="4">
        <v>254</v>
      </c>
      <c r="C601" s="4">
        <v>254</v>
      </c>
      <c r="D601" s="5">
        <v>0.9</v>
      </c>
      <c r="E601" s="6">
        <v>2.9999999999999999E-82</v>
      </c>
      <c r="F601" s="4">
        <v>72</v>
      </c>
      <c r="G601" s="4" t="str">
        <f>HYPERLINK("https://www.ncbi.nlm.nih.gov/nucleotide/AB508815.1?report=genbank&amp;log$=nucltop&amp;blast_rank=1&amp;RID=1U8DMT5G013","AB508815.1")</f>
        <v>AB508815.1</v>
      </c>
    </row>
    <row r="602" spans="1:7" x14ac:dyDescent="0.35">
      <c r="A602" s="4" t="s">
        <v>566</v>
      </c>
      <c r="B602" s="4">
        <v>254</v>
      </c>
      <c r="C602" s="4">
        <v>254</v>
      </c>
      <c r="D602" s="5">
        <v>0.9</v>
      </c>
      <c r="E602" s="6">
        <v>3.9999999999999998E-82</v>
      </c>
      <c r="F602" s="4">
        <v>72</v>
      </c>
      <c r="G602" s="4" t="str">
        <f>HYPERLINK("https://www.ncbi.nlm.nih.gov/nucleotide/MF872580.1?report=genbank&amp;log$=nucltop&amp;blast_rank=2&amp;RID=1U8DMT5G013","MF872580.1")</f>
        <v>MF872580.1</v>
      </c>
    </row>
    <row r="603" spans="1:7" x14ac:dyDescent="0.35">
      <c r="A603" s="4" t="s">
        <v>563</v>
      </c>
      <c r="B603" s="4">
        <v>256</v>
      </c>
      <c r="C603" s="4">
        <v>256</v>
      </c>
      <c r="D603" s="5">
        <v>0.9</v>
      </c>
      <c r="E603" s="6">
        <v>3.9999999999999998E-81</v>
      </c>
      <c r="F603" s="4">
        <v>71.430000000000007</v>
      </c>
      <c r="G603" s="4" t="str">
        <f>HYPERLINK("https://www.ncbi.nlm.nih.gov/nucleotide/XM_007382807.1?report=genbank&amp;log$=nucltop&amp;blast_rank=3&amp;RID=1U8DMT5G013","XM_007382807.1")</f>
        <v>XM_007382807.1</v>
      </c>
    </row>
    <row r="604" spans="1:7" x14ac:dyDescent="0.35">
      <c r="A604" s="4" t="s">
        <v>567</v>
      </c>
      <c r="B604" s="4">
        <v>245</v>
      </c>
      <c r="C604" s="4">
        <v>245</v>
      </c>
      <c r="D604" s="5">
        <v>0.9</v>
      </c>
      <c r="E604" s="6">
        <v>1E-78</v>
      </c>
      <c r="F604" s="4">
        <v>69.709999999999994</v>
      </c>
      <c r="G604" s="4" t="str">
        <f>HYPERLINK("https://www.ncbi.nlm.nih.gov/nucleotide/XM_007867111.1?report=genbank&amp;log$=nucltop&amp;blast_rank=4&amp;RID=1U8DMT5G013","XM_007867111.1")</f>
        <v>XM_007867111.1</v>
      </c>
    </row>
    <row r="605" spans="1:7" x14ac:dyDescent="0.35">
      <c r="A605" s="4" t="s">
        <v>568</v>
      </c>
      <c r="B605" s="4">
        <v>245</v>
      </c>
      <c r="C605" s="4">
        <v>245</v>
      </c>
      <c r="D605" s="5">
        <v>0.9</v>
      </c>
      <c r="E605" s="6">
        <v>3E-79</v>
      </c>
      <c r="F605" s="4">
        <v>69.319999999999993</v>
      </c>
      <c r="G605" s="4" t="str">
        <f>HYPERLINK("https://www.ncbi.nlm.nih.gov/nucleotide/XM_007396846.1?report=genbank&amp;log$=nucltop&amp;blast_rank=5&amp;RID=1U8DMT5G013","XM_007396846.1")</f>
        <v>XM_007396846.1</v>
      </c>
    </row>
    <row r="606" spans="1:7" x14ac:dyDescent="0.35">
      <c r="A606" s="4" t="s">
        <v>564</v>
      </c>
      <c r="B606" s="4">
        <v>246</v>
      </c>
      <c r="C606" s="4">
        <v>246</v>
      </c>
      <c r="D606" s="5">
        <v>0.9</v>
      </c>
      <c r="E606" s="6">
        <v>5E-79</v>
      </c>
      <c r="F606" s="4">
        <v>69.319999999999993</v>
      </c>
      <c r="G606" s="4" t="str">
        <f>HYPERLINK("https://www.ncbi.nlm.nih.gov/nucleotide/AB378504.1?report=genbank&amp;log$=nucltop&amp;blast_rank=6&amp;RID=1U8DMT5G013","AB378504.1")</f>
        <v>AB378504.1</v>
      </c>
    </row>
    <row r="607" spans="1:7" x14ac:dyDescent="0.35">
      <c r="A607" t="s">
        <v>574</v>
      </c>
      <c r="B607">
        <v>94</v>
      </c>
      <c r="C607">
        <v>204</v>
      </c>
      <c r="D607" s="2">
        <v>0.79</v>
      </c>
      <c r="E607" s="3">
        <v>7.0000000000000003E-19</v>
      </c>
      <c r="F607">
        <v>67.650000000000006</v>
      </c>
      <c r="G607" t="str">
        <f>HYPERLINK("https://www.ncbi.nlm.nih.gov/nucleotide/LR732081.1?report=genbank&amp;log$=nucltop&amp;blast_rank=7&amp;RID=1U8DMT5G013","LR732081.1")</f>
        <v>LR732081.1</v>
      </c>
    </row>
    <row r="608" spans="1:7" x14ac:dyDescent="0.35">
      <c r="A608" s="4" t="s">
        <v>570</v>
      </c>
      <c r="B608" s="4">
        <v>248</v>
      </c>
      <c r="C608" s="4">
        <v>248</v>
      </c>
      <c r="D608" s="5">
        <v>0.9</v>
      </c>
      <c r="E608" s="6">
        <v>3.0000000000000001E-80</v>
      </c>
      <c r="F608" s="4">
        <v>66.86</v>
      </c>
      <c r="G608" s="4" t="str">
        <f>HYPERLINK("https://www.ncbi.nlm.nih.gov/nucleotide/XM_007368135.1?report=genbank&amp;log$=nucltop&amp;blast_rank=8&amp;RID=1U8DMT5G013","XM_007368135.1")</f>
        <v>XM_007368135.1</v>
      </c>
    </row>
    <row r="609" spans="1:7" x14ac:dyDescent="0.35">
      <c r="A609" s="4" t="s">
        <v>572</v>
      </c>
      <c r="B609" s="4">
        <v>240</v>
      </c>
      <c r="C609" s="4">
        <v>240</v>
      </c>
      <c r="D609" s="5">
        <v>0.9</v>
      </c>
      <c r="E609" s="6">
        <v>1.9999999999999999E-77</v>
      </c>
      <c r="F609" s="4">
        <v>66.86</v>
      </c>
      <c r="G609" s="4" t="str">
        <f>HYPERLINK("https://www.ncbi.nlm.nih.gov/nucleotide/XM_007261273.1?report=genbank&amp;log$=nucltop&amp;blast_rank=9&amp;RID=1U8DMT5G013","XM_007261273.1")</f>
        <v>XM_007261273.1</v>
      </c>
    </row>
    <row r="610" spans="1:7" x14ac:dyDescent="0.35">
      <c r="A610" s="4" t="s">
        <v>569</v>
      </c>
      <c r="B610" s="4">
        <v>240</v>
      </c>
      <c r="C610" s="4">
        <v>240</v>
      </c>
      <c r="D610" s="5">
        <v>0.9</v>
      </c>
      <c r="E610" s="6">
        <v>9.9999999999999993E-77</v>
      </c>
      <c r="F610" s="4">
        <v>66.48</v>
      </c>
      <c r="G610" s="4" t="str">
        <f>HYPERLINK("https://www.ncbi.nlm.nih.gov/nucleotide/XM_007304416.1?report=genbank&amp;log$=nucltop&amp;blast_rank=10&amp;RID=1U8DMT5G013","XM_007304416.1")</f>
        <v>XM_007304416.1</v>
      </c>
    </row>
    <row r="611" spans="1:7" x14ac:dyDescent="0.35">
      <c r="A611" s="4" t="s">
        <v>577</v>
      </c>
      <c r="B611" s="4">
        <v>191</v>
      </c>
      <c r="C611" s="4">
        <v>191</v>
      </c>
      <c r="D611" s="5">
        <v>0.75</v>
      </c>
      <c r="E611" s="6">
        <v>6.9999999999999998E-58</v>
      </c>
      <c r="F611" s="4">
        <v>65.989999999999995</v>
      </c>
      <c r="G611" s="4" t="str">
        <f>HYPERLINK("https://www.ncbi.nlm.nih.gov/nucleotide/JF317687.1?report=genbank&amp;log$=nucltop&amp;blast_rank=11&amp;RID=1U8DMT5G013","JF317687.1")</f>
        <v>JF317687.1</v>
      </c>
    </row>
    <row r="612" spans="1:7" x14ac:dyDescent="0.35">
      <c r="A612" s="4" t="s">
        <v>576</v>
      </c>
      <c r="B612" s="4">
        <v>178</v>
      </c>
      <c r="C612" s="4">
        <v>234</v>
      </c>
      <c r="D612" s="5">
        <v>0.83</v>
      </c>
      <c r="E612" s="6">
        <v>1E-52</v>
      </c>
      <c r="F612" s="4">
        <v>65.599999999999994</v>
      </c>
      <c r="G612" s="4" t="str">
        <f>HYPERLINK("https://www.ncbi.nlm.nih.gov/nucleotide/XM_009550995.1?report=genbank&amp;log$=nucltop&amp;blast_rank=12&amp;RID=1U8DMT5G013","XM_009550995.1")</f>
        <v>XM_009550995.1</v>
      </c>
    </row>
    <row r="613" spans="1:7" x14ac:dyDescent="0.35">
      <c r="A613" s="4" t="s">
        <v>573</v>
      </c>
      <c r="B613" s="4">
        <v>239</v>
      </c>
      <c r="C613" s="4">
        <v>239</v>
      </c>
      <c r="D613" s="5">
        <v>0.9</v>
      </c>
      <c r="E613" s="6">
        <v>3.0000000000000002E-77</v>
      </c>
      <c r="F613" s="4">
        <v>64.569999999999993</v>
      </c>
      <c r="G613" s="4" t="str">
        <f>HYPERLINK("https://www.ncbi.nlm.nih.gov/nucleotide/XM_007772338.1?report=genbank&amp;log$=nucltop&amp;blast_rank=13&amp;RID=1U8DMT5G013","XM_007772338.1")</f>
        <v>XM_007772338.1</v>
      </c>
    </row>
    <row r="614" spans="1:7" x14ac:dyDescent="0.35">
      <c r="A614" s="4" t="s">
        <v>571</v>
      </c>
      <c r="B614" s="4">
        <v>232</v>
      </c>
      <c r="C614" s="4">
        <v>232</v>
      </c>
      <c r="D614" s="5">
        <v>0.9</v>
      </c>
      <c r="E614" s="6">
        <v>1E-73</v>
      </c>
      <c r="F614" s="4">
        <v>63.43</v>
      </c>
      <c r="G614" s="4" t="str">
        <f>HYPERLINK("https://www.ncbi.nlm.nih.gov/nucleotide/XM_008040541.1?report=genbank&amp;log$=nucltop&amp;blast_rank=14&amp;RID=1U8DMT5G013","XM_008040541.1")</f>
        <v>XM_008040541.1</v>
      </c>
    </row>
    <row r="615" spans="1:7" x14ac:dyDescent="0.35">
      <c r="A615" s="4" t="s">
        <v>575</v>
      </c>
      <c r="B615" s="4">
        <v>224</v>
      </c>
      <c r="C615" s="4">
        <v>224</v>
      </c>
      <c r="D615" s="5">
        <v>0.9</v>
      </c>
      <c r="E615" s="6">
        <v>9.9999999999999996E-70</v>
      </c>
      <c r="F615" s="4">
        <v>62.3</v>
      </c>
      <c r="G615" s="4" t="str">
        <f>HYPERLINK("https://www.ncbi.nlm.nih.gov/nucleotide/XM_037360141.1?report=genbank&amp;log$=nucltop&amp;blast_rank=15&amp;RID=1U8DMT5G013","XM_037360141.1")</f>
        <v>XM_037360141.1</v>
      </c>
    </row>
    <row r="616" spans="1:7" x14ac:dyDescent="0.35">
      <c r="A616" t="s">
        <v>579</v>
      </c>
      <c r="B616">
        <v>188</v>
      </c>
      <c r="C616">
        <v>188</v>
      </c>
      <c r="D616" s="2">
        <v>0.9</v>
      </c>
      <c r="E616" s="3">
        <v>3E-57</v>
      </c>
      <c r="F616">
        <v>56</v>
      </c>
      <c r="G616" t="str">
        <f>HYPERLINK("https://www.ncbi.nlm.nih.gov/nucleotide/XM_006461891.1?report=genbank&amp;log$=nucltop&amp;blast_rank=16&amp;RID=1U8DMT5G013","XM_006461891.1")</f>
        <v>XM_006461891.1</v>
      </c>
    </row>
    <row r="617" spans="1:7" x14ac:dyDescent="0.35">
      <c r="A617" t="s">
        <v>580</v>
      </c>
      <c r="B617">
        <v>187</v>
      </c>
      <c r="C617">
        <v>187</v>
      </c>
      <c r="D617" s="2">
        <v>0.9</v>
      </c>
      <c r="E617" s="3">
        <v>3E-57</v>
      </c>
      <c r="F617">
        <v>56</v>
      </c>
      <c r="G617" t="str">
        <f>HYPERLINK("https://www.ncbi.nlm.nih.gov/nucleotide/XM_007327576.1?report=genbank&amp;log$=nucltop&amp;blast_rank=17&amp;RID=1U8DMT5G013","XM_007327576.1")</f>
        <v>XM_007327576.1</v>
      </c>
    </row>
    <row r="618" spans="1:7" x14ac:dyDescent="0.35">
      <c r="A618" t="s">
        <v>595</v>
      </c>
      <c r="B618">
        <v>209</v>
      </c>
      <c r="C618">
        <v>209</v>
      </c>
      <c r="D618" s="2">
        <v>0.9</v>
      </c>
      <c r="E618" s="3">
        <v>1E-58</v>
      </c>
      <c r="F618">
        <v>52.59</v>
      </c>
      <c r="G618" t="str">
        <f>HYPERLINK("https://www.ncbi.nlm.nih.gov/nucleotide/LR732076.1?report=genbank&amp;log$=nucltop&amp;blast_rank=18&amp;RID=1U8DMT5G013","LR732076.1")</f>
        <v>LR732076.1</v>
      </c>
    </row>
    <row r="619" spans="1:7" x14ac:dyDescent="0.35">
      <c r="A619" t="s">
        <v>37</v>
      </c>
      <c r="B619">
        <v>134</v>
      </c>
      <c r="C619">
        <v>204</v>
      </c>
      <c r="D619" s="2">
        <v>0.9</v>
      </c>
      <c r="E619" s="3">
        <v>4.0000000000000003E-43</v>
      </c>
      <c r="F619">
        <v>51.88</v>
      </c>
      <c r="G619" t="str">
        <f>HYPERLINK("https://www.ncbi.nlm.nih.gov/nucleotide/LR732085.1?report=genbank&amp;log$=nucltop&amp;blast_rank=19&amp;RID=1U8DMT5G013","LR732085.1")</f>
        <v>LR732085.1</v>
      </c>
    </row>
    <row r="620" spans="1:7" x14ac:dyDescent="0.35">
      <c r="A620" t="s">
        <v>610</v>
      </c>
      <c r="B620">
        <v>100</v>
      </c>
      <c r="C620">
        <v>254</v>
      </c>
      <c r="D620" s="2">
        <v>0.89</v>
      </c>
      <c r="E620" s="3">
        <v>9E-46</v>
      </c>
      <c r="F620">
        <v>50.54</v>
      </c>
      <c r="G620" t="str">
        <f>HYPERLINK("https://www.ncbi.nlm.nih.gov/nucleotide/CP019381.1?report=genbank&amp;log$=nucltop&amp;blast_rank=20&amp;RID=1U8DMT5G013","CP019381.1")</f>
        <v>CP019381.1</v>
      </c>
    </row>
    <row r="621" spans="1:7" x14ac:dyDescent="0.35">
      <c r="A621" t="s">
        <v>597</v>
      </c>
      <c r="B621">
        <v>149</v>
      </c>
      <c r="C621">
        <v>189</v>
      </c>
      <c r="D621" s="2">
        <v>0.89</v>
      </c>
      <c r="E621" s="3">
        <v>9.9999999999999996E-39</v>
      </c>
      <c r="F621">
        <v>49.46</v>
      </c>
      <c r="G621" t="str">
        <f>HYPERLINK("https://www.ncbi.nlm.nih.gov/nucleotide/CP068000.1?report=genbank&amp;log$=nucltop&amp;blast_rank=21&amp;RID=1U8DMT5G013","CP068000.1")</f>
        <v>CP068000.1</v>
      </c>
    </row>
    <row r="622" spans="1:7" x14ac:dyDescent="0.35">
      <c r="A622" t="s">
        <v>599</v>
      </c>
      <c r="B622">
        <v>170</v>
      </c>
      <c r="C622">
        <v>170</v>
      </c>
      <c r="D622" s="2">
        <v>0.9</v>
      </c>
      <c r="E622" s="3">
        <v>3.9999999999999999E-45</v>
      </c>
      <c r="F622">
        <v>45.18</v>
      </c>
      <c r="G622" t="str">
        <f>HYPERLINK("https://www.ncbi.nlm.nih.gov/nucleotide/CP015462.1?report=genbank&amp;log$=nucltop&amp;blast_rank=22&amp;RID=1U8DMT5G013","CP015462.1")</f>
        <v>CP015462.1</v>
      </c>
    </row>
    <row r="623" spans="1:7" x14ac:dyDescent="0.35">
      <c r="A623" t="s">
        <v>600</v>
      </c>
      <c r="B623">
        <v>170</v>
      </c>
      <c r="C623">
        <v>170</v>
      </c>
      <c r="D623" s="2">
        <v>0.9</v>
      </c>
      <c r="E623" s="3">
        <v>3.9999999999999999E-45</v>
      </c>
      <c r="F623">
        <v>45.18</v>
      </c>
      <c r="G623" t="str">
        <f>HYPERLINK("https://www.ncbi.nlm.nih.gov/nucleotide/CP039878.1?report=genbank&amp;log$=nucltop&amp;blast_rank=23&amp;RID=1U8DMT5G013","CP039878.1")</f>
        <v>CP039878.1</v>
      </c>
    </row>
    <row r="624" spans="1:7" x14ac:dyDescent="0.35">
      <c r="A624" t="s">
        <v>872</v>
      </c>
      <c r="B624">
        <v>54.7</v>
      </c>
      <c r="C624">
        <v>54.7</v>
      </c>
      <c r="D624" s="2">
        <v>0.45</v>
      </c>
      <c r="E624" s="3">
        <v>5.0000000000000002E-5</v>
      </c>
      <c r="F624">
        <v>43.33</v>
      </c>
      <c r="G624" t="str">
        <f>HYPERLINK("https://www.ncbi.nlm.nih.gov/nucleotide/XM_039056015.1?report=genbank&amp;log$=nucltop&amp;blast_rank=24&amp;RID=1U8DMT5G013","XM_039056015.1")</f>
        <v>XM_039056015.1</v>
      </c>
    </row>
    <row r="625" spans="1:7" x14ac:dyDescent="0.35">
      <c r="A625" s="4" t="s">
        <v>609</v>
      </c>
      <c r="B625" s="4">
        <v>107</v>
      </c>
      <c r="C625" s="4">
        <v>223</v>
      </c>
      <c r="D625" s="5">
        <v>0.89</v>
      </c>
      <c r="E625" s="6">
        <v>1.9999999999999998E-24</v>
      </c>
      <c r="F625" s="4">
        <v>43.23</v>
      </c>
      <c r="G625" s="4" t="str">
        <f>HYPERLINK("https://www.ncbi.nlm.nih.gov/nucleotide/AB508816.1?report=genbank&amp;log$=nucltop&amp;blast_rank=25&amp;RID=1U8DMT5G013","AB508816.1")</f>
        <v>AB508816.1</v>
      </c>
    </row>
    <row r="626" spans="1:7" x14ac:dyDescent="0.35">
      <c r="A626" t="s">
        <v>602</v>
      </c>
      <c r="B626">
        <v>111</v>
      </c>
      <c r="C626">
        <v>212</v>
      </c>
      <c r="D626" s="2">
        <v>0.9</v>
      </c>
      <c r="E626" s="3">
        <v>2E-45</v>
      </c>
      <c r="F626">
        <v>42.66</v>
      </c>
      <c r="G626" t="str">
        <f>HYPERLINK("https://www.ncbi.nlm.nih.gov/nucleotide/CP015475.1?report=genbank&amp;log$=nucltop&amp;blast_rank=26&amp;RID=1U8DMT5G013","CP015475.1")</f>
        <v>CP015475.1</v>
      </c>
    </row>
    <row r="627" spans="1:7" x14ac:dyDescent="0.35">
      <c r="A627" t="s">
        <v>603</v>
      </c>
      <c r="B627">
        <v>55.5</v>
      </c>
      <c r="C627">
        <v>55.5</v>
      </c>
      <c r="D627" s="2">
        <v>0.42</v>
      </c>
      <c r="E627" s="3">
        <v>3.0000000000000001E-5</v>
      </c>
      <c r="F627">
        <v>41.18</v>
      </c>
      <c r="G627" t="str">
        <f>HYPERLINK("https://www.ncbi.nlm.nih.gov/nucleotide/XM_020268649.1?report=genbank&amp;log$=nucltop&amp;blast_rank=27&amp;RID=1U8DMT5G013","XM_020268649.1")</f>
        <v>XM_020268649.1</v>
      </c>
    </row>
    <row r="628" spans="1:7" x14ac:dyDescent="0.35">
      <c r="A628" t="s">
        <v>601</v>
      </c>
      <c r="B628">
        <v>62</v>
      </c>
      <c r="C628">
        <v>62</v>
      </c>
      <c r="D628" s="2">
        <v>0.5</v>
      </c>
      <c r="E628" s="3">
        <v>1.9999999999999999E-7</v>
      </c>
      <c r="F628">
        <v>40</v>
      </c>
      <c r="G628" t="str">
        <f>HYPERLINK("https://www.ncbi.nlm.nih.gov/nucleotide/XM_013525843.1?report=genbank&amp;log$=nucltop&amp;blast_rank=28&amp;RID=1U8DMT5G013","XM_013525843.1")</f>
        <v>XM_013525843.1</v>
      </c>
    </row>
    <row r="629" spans="1:7" x14ac:dyDescent="0.35">
      <c r="A629" t="s">
        <v>627</v>
      </c>
      <c r="B629">
        <v>53.9</v>
      </c>
      <c r="C629">
        <v>53.9</v>
      </c>
      <c r="D629" s="2">
        <v>0.42</v>
      </c>
      <c r="E629" s="3">
        <v>3.0000000000000001E-5</v>
      </c>
      <c r="F629">
        <v>40</v>
      </c>
      <c r="G629" t="str">
        <f>HYPERLINK("https://www.ncbi.nlm.nih.gov/nucleotide/XM_031151746.1?report=genbank&amp;log$=nucltop&amp;blast_rank=29&amp;RID=1U8DMT5G013","XM_031151746.1")</f>
        <v>XM_031151746.1</v>
      </c>
    </row>
    <row r="630" spans="1:7" x14ac:dyDescent="0.35">
      <c r="A630" t="s">
        <v>582</v>
      </c>
      <c r="B630">
        <v>54.3</v>
      </c>
      <c r="C630">
        <v>54.3</v>
      </c>
      <c r="D630" s="2">
        <v>0.42</v>
      </c>
      <c r="E630" s="3">
        <v>5.0000000000000002E-5</v>
      </c>
      <c r="F630">
        <v>40</v>
      </c>
      <c r="G630" t="str">
        <f>HYPERLINK("https://www.ncbi.nlm.nih.gov/nucleotide/XM_026755757.1?report=genbank&amp;log$=nucltop&amp;blast_rank=30&amp;RID=1U8DMT5G013","XM_026755757.1")</f>
        <v>XM_026755757.1</v>
      </c>
    </row>
    <row r="631" spans="1:7" x14ac:dyDescent="0.35">
      <c r="A631" s="4" t="s">
        <v>614</v>
      </c>
      <c r="B631" s="4">
        <v>53.9</v>
      </c>
      <c r="C631" s="4">
        <v>53.9</v>
      </c>
      <c r="D631" s="5">
        <v>0.42</v>
      </c>
      <c r="E631" s="6">
        <v>1E-4</v>
      </c>
      <c r="F631" s="4">
        <v>40</v>
      </c>
      <c r="G631" s="4" t="str">
        <f>HYPERLINK("https://www.ncbi.nlm.nih.gov/nucleotide/XM_024920487.1?report=genbank&amp;log$=nucltop&amp;blast_rank=31&amp;RID=1U8DMT5G013","XM_024920487.1")</f>
        <v>XM_024920487.1</v>
      </c>
    </row>
    <row r="632" spans="1:7" x14ac:dyDescent="0.35">
      <c r="A632" t="s">
        <v>587</v>
      </c>
      <c r="B632">
        <v>53.5</v>
      </c>
      <c r="C632">
        <v>53.5</v>
      </c>
      <c r="D632" s="2">
        <v>0.42</v>
      </c>
      <c r="E632" s="3">
        <v>2.0000000000000001E-4</v>
      </c>
      <c r="F632">
        <v>40</v>
      </c>
      <c r="G632" t="str">
        <f>HYPERLINK("https://www.ncbi.nlm.nih.gov/nucleotide/CP066510.1?report=genbank&amp;log$=nucltop&amp;blast_rank=32&amp;RID=1U8DMT5G013","CP066510.1")</f>
        <v>CP066510.1</v>
      </c>
    </row>
    <row r="633" spans="1:7" x14ac:dyDescent="0.35">
      <c r="A633" s="4" t="s">
        <v>584</v>
      </c>
      <c r="B633" s="4">
        <v>50.8</v>
      </c>
      <c r="C633" s="4">
        <v>50.8</v>
      </c>
      <c r="D633" s="5">
        <v>0.42</v>
      </c>
      <c r="E633" s="6">
        <v>6.9999999999999999E-4</v>
      </c>
      <c r="F633" s="4">
        <v>40</v>
      </c>
      <c r="G633" s="4" t="str">
        <f>HYPERLINK("https://www.ncbi.nlm.nih.gov/nucleotide/XM_743744.1?report=genbank&amp;log$=nucltop&amp;blast_rank=33&amp;RID=1U8DMT5G013","XM_743744.1")</f>
        <v>XM_743744.1</v>
      </c>
    </row>
    <row r="634" spans="1:7" x14ac:dyDescent="0.35">
      <c r="A634" s="4" t="s">
        <v>875</v>
      </c>
      <c r="B634" s="4">
        <v>50.8</v>
      </c>
      <c r="C634" s="4">
        <v>50.8</v>
      </c>
      <c r="D634" s="5">
        <v>0.42</v>
      </c>
      <c r="E634" s="4">
        <v>1E-3</v>
      </c>
      <c r="F634" s="4">
        <v>40</v>
      </c>
      <c r="G634" s="4" t="str">
        <f>HYPERLINK("https://www.ncbi.nlm.nih.gov/nucleotide/XM_014093435.1?report=genbank&amp;log$=nucltop&amp;blast_rank=34&amp;RID=1U8DMT5G013","XM_014093435.1")</f>
        <v>XM_014093435.1</v>
      </c>
    </row>
    <row r="635" spans="1:7" x14ac:dyDescent="0.35">
      <c r="A635" s="4" t="s">
        <v>613</v>
      </c>
      <c r="B635" s="4">
        <v>54.3</v>
      </c>
      <c r="C635" s="4">
        <v>54.3</v>
      </c>
      <c r="D635" s="5">
        <v>0.44</v>
      </c>
      <c r="E635" s="6">
        <v>4.0000000000000003E-5</v>
      </c>
      <c r="F635" s="4">
        <v>39.770000000000003</v>
      </c>
      <c r="G635" s="4" t="str">
        <f>HYPERLINK("https://www.ncbi.nlm.nih.gov/nucleotide/XM_014096997.1?report=genbank&amp;log$=nucltop&amp;blast_rank=35&amp;RID=1U8DMT5G013","XM_014096997.1")</f>
        <v>XM_014096997.1</v>
      </c>
    </row>
    <row r="636" spans="1:7" x14ac:dyDescent="0.35">
      <c r="A636" t="s">
        <v>1362</v>
      </c>
      <c r="B636">
        <v>84.7</v>
      </c>
      <c r="C636">
        <v>84.7</v>
      </c>
      <c r="D636" s="2">
        <v>0.69</v>
      </c>
      <c r="E636" s="3">
        <v>5.9999999999999999E-16</v>
      </c>
      <c r="F636">
        <v>39.46</v>
      </c>
      <c r="G636" t="str">
        <f>HYPERLINK("https://www.ncbi.nlm.nih.gov/nucleotide/XM_018839273.1?report=genbank&amp;log$=nucltop&amp;blast_rank=36&amp;RID=1U8DMT5G013","XM_018839273.1")</f>
        <v>XM_018839273.1</v>
      </c>
    </row>
    <row r="637" spans="1:7" x14ac:dyDescent="0.35">
      <c r="A637" t="s">
        <v>147</v>
      </c>
      <c r="B637">
        <v>82.8</v>
      </c>
      <c r="C637">
        <v>82.8</v>
      </c>
      <c r="D637" s="2">
        <v>0.69</v>
      </c>
      <c r="E637" s="3">
        <v>2.0000000000000002E-15</v>
      </c>
      <c r="F637">
        <v>39.46</v>
      </c>
      <c r="G637" t="str">
        <f>HYPERLINK("https://www.ncbi.nlm.nih.gov/nucleotide/XM_007743610.1?report=genbank&amp;log$=nucltop&amp;blast_rank=37&amp;RID=1U8DMT5G013","XM_007743610.1")</f>
        <v>XM_007743610.1</v>
      </c>
    </row>
    <row r="638" spans="1:7" x14ac:dyDescent="0.35">
      <c r="A638" t="s">
        <v>164</v>
      </c>
      <c r="B638">
        <v>82.8</v>
      </c>
      <c r="C638">
        <v>82.8</v>
      </c>
      <c r="D638" s="2">
        <v>0.69</v>
      </c>
      <c r="E638" s="3">
        <v>2E-14</v>
      </c>
      <c r="F638">
        <v>39.46</v>
      </c>
      <c r="G638" t="str">
        <f>HYPERLINK("https://www.ncbi.nlm.nih.gov/nucleotide/XM_009160507.1?report=genbank&amp;log$=nucltop&amp;blast_rank=38&amp;RID=1U8DMT5G013","XM_009160507.1")</f>
        <v>XM_009160507.1</v>
      </c>
    </row>
    <row r="639" spans="1:7" x14ac:dyDescent="0.35">
      <c r="A639" t="s">
        <v>617</v>
      </c>
      <c r="B639">
        <v>108</v>
      </c>
      <c r="C639">
        <v>108</v>
      </c>
      <c r="D639" s="2">
        <v>0.84</v>
      </c>
      <c r="E639" s="3">
        <v>2.0000000000000001E-25</v>
      </c>
      <c r="F639">
        <v>39.31</v>
      </c>
      <c r="G639" t="str">
        <f>HYPERLINK("https://www.ncbi.nlm.nih.gov/nucleotide/XM_019169100.1?report=genbank&amp;log$=nucltop&amp;blast_rank=39&amp;RID=1U8DMT5G013","XM_019169100.1")</f>
        <v>XM_019169100.1</v>
      </c>
    </row>
    <row r="640" spans="1:7" x14ac:dyDescent="0.35">
      <c r="A640" t="s">
        <v>612</v>
      </c>
      <c r="B640">
        <v>79</v>
      </c>
      <c r="C640">
        <v>79</v>
      </c>
      <c r="D640" s="2">
        <v>0.69</v>
      </c>
      <c r="E640" s="3">
        <v>1E-14</v>
      </c>
      <c r="F640">
        <v>39.19</v>
      </c>
      <c r="G640" t="str">
        <f>HYPERLINK("https://www.ncbi.nlm.nih.gov/nucleotide/XM_013568610.1?report=genbank&amp;log$=nucltop&amp;blast_rank=40&amp;RID=1U8DMT5G013","XM_013568610.1")</f>
        <v>XM_013568610.1</v>
      </c>
    </row>
    <row r="641" spans="1:7" x14ac:dyDescent="0.35">
      <c r="A641" t="s">
        <v>593</v>
      </c>
      <c r="B641">
        <v>51.6</v>
      </c>
      <c r="C641">
        <v>51.6</v>
      </c>
      <c r="D641" s="2">
        <v>0.49</v>
      </c>
      <c r="E641">
        <v>1E-3</v>
      </c>
      <c r="F641">
        <v>39.18</v>
      </c>
      <c r="G641" t="str">
        <f>HYPERLINK("https://www.ncbi.nlm.nih.gov/nucleotide/CP064903.1?report=genbank&amp;log$=nucltop&amp;blast_rank=41&amp;RID=1U8DMT5G013","CP064903.1")</f>
        <v>CP064903.1</v>
      </c>
    </row>
    <row r="642" spans="1:7" x14ac:dyDescent="0.35">
      <c r="A642" t="s">
        <v>615</v>
      </c>
      <c r="B642">
        <v>86.7</v>
      </c>
      <c r="C642">
        <v>86.7</v>
      </c>
      <c r="D642" s="2">
        <v>0.7</v>
      </c>
      <c r="E642" s="3">
        <v>1.0000000000000001E-17</v>
      </c>
      <c r="F642">
        <v>39.130000000000003</v>
      </c>
      <c r="G642" t="str">
        <f>HYPERLINK("https://www.ncbi.nlm.nih.gov/nucleotide/XM_019168695.1?report=genbank&amp;log$=nucltop&amp;blast_rank=42&amp;RID=1U8DMT5G013","XM_019168695.1")</f>
        <v>XM_019168695.1</v>
      </c>
    </row>
    <row r="643" spans="1:7" x14ac:dyDescent="0.35">
      <c r="A643" t="s">
        <v>968</v>
      </c>
      <c r="B643">
        <v>56.2</v>
      </c>
      <c r="C643">
        <v>56.2</v>
      </c>
      <c r="D643" s="2">
        <v>0.72</v>
      </c>
      <c r="E643" s="3">
        <v>1.0000000000000001E-5</v>
      </c>
      <c r="F643">
        <v>39.020000000000003</v>
      </c>
      <c r="G643" t="str">
        <f>HYPERLINK("https://www.ncbi.nlm.nih.gov/nucleotide/XM_027755780.1?report=genbank&amp;log$=nucltop&amp;blast_rank=43&amp;RID=1U8DMT5G013","XM_027755780.1")</f>
        <v>XM_027755780.1</v>
      </c>
    </row>
    <row r="644" spans="1:7" x14ac:dyDescent="0.35">
      <c r="A644" s="4" t="s">
        <v>588</v>
      </c>
      <c r="B644" s="4">
        <v>51.6</v>
      </c>
      <c r="C644" s="4">
        <v>51.6</v>
      </c>
      <c r="D644" s="5">
        <v>0.42</v>
      </c>
      <c r="E644" s="6">
        <v>5.0000000000000001E-4</v>
      </c>
      <c r="F644" s="4">
        <v>38.82</v>
      </c>
      <c r="G644" s="4" t="str">
        <f>HYPERLINK("https://www.ncbi.nlm.nih.gov/nucleotide/KF233752.1?report=genbank&amp;log$=nucltop&amp;blast_rank=44&amp;RID=1U8DMT5G013","KF233752.1")</f>
        <v>KF233752.1</v>
      </c>
    </row>
    <row r="645" spans="1:7" x14ac:dyDescent="0.35">
      <c r="A645" s="4" t="s">
        <v>592</v>
      </c>
      <c r="B645" s="4">
        <v>51.2</v>
      </c>
      <c r="C645" s="4">
        <v>51.2</v>
      </c>
      <c r="D645" s="5">
        <v>0.42</v>
      </c>
      <c r="E645" s="4">
        <v>1E-3</v>
      </c>
      <c r="F645" s="4">
        <v>38.82</v>
      </c>
      <c r="G645" s="4" t="str">
        <f>HYPERLINK("https://www.ncbi.nlm.nih.gov/nucleotide/EU855738.1?report=genbank&amp;log$=nucltop&amp;blast_rank=45&amp;RID=1U8DMT5G013","EU855738.1")</f>
        <v>EU855738.1</v>
      </c>
    </row>
    <row r="646" spans="1:7" x14ac:dyDescent="0.35">
      <c r="A646" s="4" t="s">
        <v>1368</v>
      </c>
      <c r="B646" s="4">
        <v>65.5</v>
      </c>
      <c r="C646" s="4">
        <v>65.5</v>
      </c>
      <c r="D646" s="5">
        <v>0.64</v>
      </c>
      <c r="E646" s="6">
        <v>5.0000000000000001E-9</v>
      </c>
      <c r="F646" s="4">
        <v>38.58</v>
      </c>
      <c r="G646" s="4" t="str">
        <f>HYPERLINK("https://www.ncbi.nlm.nih.gov/nucleotide/XM_007679453.1?report=genbank&amp;log$=nucltop&amp;blast_rank=46&amp;RID=1U8DMT5G013","XM_007679453.1")</f>
        <v>XM_007679453.1</v>
      </c>
    </row>
    <row r="647" spans="1:7" x14ac:dyDescent="0.35">
      <c r="A647" t="s">
        <v>619</v>
      </c>
      <c r="B647">
        <v>79</v>
      </c>
      <c r="C647">
        <v>79</v>
      </c>
      <c r="D647" s="2">
        <v>0.69</v>
      </c>
      <c r="E647" s="3">
        <v>4E-14</v>
      </c>
      <c r="F647">
        <v>38.51</v>
      </c>
      <c r="G647" t="str">
        <f>HYPERLINK("https://www.ncbi.nlm.nih.gov/nucleotide/XM_029909166.1?report=genbank&amp;log$=nucltop&amp;blast_rank=47&amp;RID=1U8DMT5G013","XM_029909166.1")</f>
        <v>XM_029909166.1</v>
      </c>
    </row>
    <row r="648" spans="1:7" x14ac:dyDescent="0.35">
      <c r="A648" t="s">
        <v>135</v>
      </c>
      <c r="B648">
        <v>77.400000000000006</v>
      </c>
      <c r="C648">
        <v>77.400000000000006</v>
      </c>
      <c r="D648" s="2">
        <v>0.61</v>
      </c>
      <c r="E648" s="3">
        <v>2E-14</v>
      </c>
      <c r="F648">
        <v>38.33</v>
      </c>
      <c r="G648" t="str">
        <f>HYPERLINK("https://www.ncbi.nlm.nih.gov/nucleotide/XM_007732967.1?report=genbank&amp;log$=nucltop&amp;blast_rank=48&amp;RID=1U8DMT5G013","XM_007732967.1")</f>
        <v>XM_007732967.1</v>
      </c>
    </row>
    <row r="649" spans="1:7" x14ac:dyDescent="0.35">
      <c r="A649" s="4" t="s">
        <v>594</v>
      </c>
      <c r="B649" s="4">
        <v>53.1</v>
      </c>
      <c r="C649" s="4">
        <v>53.1</v>
      </c>
      <c r="D649" s="5">
        <v>0.44</v>
      </c>
      <c r="E649" s="6">
        <v>5.0000000000000002E-5</v>
      </c>
      <c r="F649" s="4">
        <v>38.200000000000003</v>
      </c>
      <c r="G649" s="4" t="str">
        <f>HYPERLINK("https://www.ncbi.nlm.nih.gov/nucleotide/XM_032047508.1?report=genbank&amp;log$=nucltop&amp;blast_rank=49&amp;RID=1U8DMT5G013","XM_032047508.1")</f>
        <v>XM_032047508.1</v>
      </c>
    </row>
    <row r="650" spans="1:7" x14ac:dyDescent="0.35">
      <c r="A650" t="s">
        <v>174</v>
      </c>
      <c r="B650">
        <v>84</v>
      </c>
      <c r="C650">
        <v>84</v>
      </c>
      <c r="D650" s="2">
        <v>0.69</v>
      </c>
      <c r="E650" s="3">
        <v>5.0000000000000004E-16</v>
      </c>
      <c r="F650">
        <v>38.1</v>
      </c>
      <c r="G650" t="str">
        <f>HYPERLINK("https://www.ncbi.nlm.nih.gov/nucleotide/XM_016771739.1?report=genbank&amp;log$=nucltop&amp;blast_rank=50&amp;RID=1U8DMT5G013","XM_016771739.1")</f>
        <v>XM_016771739.1</v>
      </c>
    </row>
    <row r="651" spans="1:7" x14ac:dyDescent="0.35">
      <c r="A651" t="s">
        <v>180</v>
      </c>
      <c r="B651">
        <v>84.3</v>
      </c>
      <c r="C651">
        <v>84.3</v>
      </c>
      <c r="D651" s="2">
        <v>0.69</v>
      </c>
      <c r="E651" s="3">
        <v>4.0000000000000003E-15</v>
      </c>
      <c r="F651">
        <v>38.1</v>
      </c>
      <c r="G651" t="str">
        <f>HYPERLINK("https://www.ncbi.nlm.nih.gov/nucleotide/XM_016358632.1?report=genbank&amp;log$=nucltop&amp;blast_rank=51&amp;RID=1U8DMT5G013","XM_016358632.1")</f>
        <v>XM_016358632.1</v>
      </c>
    </row>
    <row r="652" spans="1:7" x14ac:dyDescent="0.35">
      <c r="A652" t="s">
        <v>616</v>
      </c>
      <c r="B652">
        <v>52.4</v>
      </c>
      <c r="C652">
        <v>52.4</v>
      </c>
      <c r="D652" s="2">
        <v>0.47</v>
      </c>
      <c r="E652" s="3">
        <v>5.0000000000000001E-4</v>
      </c>
      <c r="F652">
        <v>37.89</v>
      </c>
      <c r="G652" t="str">
        <f>HYPERLINK("https://www.ncbi.nlm.nih.gov/nucleotide/CP036226.1?report=genbank&amp;log$=nucltop&amp;blast_rank=52&amp;RID=1U8DMT5G013","CP036226.1")</f>
        <v>CP036226.1</v>
      </c>
    </row>
    <row r="653" spans="1:7" x14ac:dyDescent="0.35">
      <c r="A653" t="s">
        <v>618</v>
      </c>
      <c r="B653">
        <v>82.8</v>
      </c>
      <c r="C653">
        <v>82.8</v>
      </c>
      <c r="D653" s="2">
        <v>0.69</v>
      </c>
      <c r="E653" s="3">
        <v>2.9999999999999998E-15</v>
      </c>
      <c r="F653">
        <v>37.67</v>
      </c>
      <c r="G653" t="str">
        <f>HYPERLINK("https://www.ncbi.nlm.nih.gov/nucleotide/XM_008726366.1?report=genbank&amp;log$=nucltop&amp;blast_rank=53&amp;RID=1U8DMT5G013","XM_008726366.1")</f>
        <v>XM_008726366.1</v>
      </c>
    </row>
    <row r="654" spans="1:7" x14ac:dyDescent="0.35">
      <c r="A654" t="s">
        <v>1363</v>
      </c>
      <c r="B654">
        <v>82.4</v>
      </c>
      <c r="C654">
        <v>82.4</v>
      </c>
      <c r="D654" s="2">
        <v>0.69</v>
      </c>
      <c r="E654" s="3">
        <v>1E-14</v>
      </c>
      <c r="F654">
        <v>37.409999999999997</v>
      </c>
      <c r="G654" t="str">
        <f>HYPERLINK("https://www.ncbi.nlm.nih.gov/nucleotide/XM_016395158.1?report=genbank&amp;log$=nucltop&amp;blast_rank=54&amp;RID=1U8DMT5G013","XM_016395158.1")</f>
        <v>XM_016395158.1</v>
      </c>
    </row>
    <row r="655" spans="1:7" x14ac:dyDescent="0.35">
      <c r="A655" s="4" t="s">
        <v>1367</v>
      </c>
      <c r="B655" s="4">
        <v>74.7</v>
      </c>
      <c r="C655" s="4">
        <v>74.7</v>
      </c>
      <c r="D655" s="5">
        <v>0.68</v>
      </c>
      <c r="E655" s="6">
        <v>2E-12</v>
      </c>
      <c r="F655" s="4">
        <v>37.409999999999997</v>
      </c>
      <c r="G655" s="4" t="str">
        <f>HYPERLINK("https://www.ncbi.nlm.nih.gov/nucleotide/XM_013483434.1?report=genbank&amp;log$=nucltop&amp;blast_rank=55&amp;RID=1U8DMT5G013","XM_013483434.1")</f>
        <v>XM_013483434.1</v>
      </c>
    </row>
    <row r="656" spans="1:7" x14ac:dyDescent="0.35">
      <c r="A656" s="4" t="s">
        <v>624</v>
      </c>
      <c r="B656" s="4">
        <v>80.5</v>
      </c>
      <c r="C656" s="4">
        <v>80.5</v>
      </c>
      <c r="D656" s="5">
        <v>0.63</v>
      </c>
      <c r="E656" s="6">
        <v>4.0000000000000003E-15</v>
      </c>
      <c r="F656" s="4">
        <v>37.4</v>
      </c>
      <c r="G656" s="4" t="str">
        <f>HYPERLINK("https://www.ncbi.nlm.nih.gov/nucleotide/XM_035512815.1?report=genbank&amp;log$=nucltop&amp;blast_rank=56&amp;RID=1U8DMT5G013","XM_035512815.1")</f>
        <v>XM_035512815.1</v>
      </c>
    </row>
    <row r="657" spans="1:7" x14ac:dyDescent="0.35">
      <c r="A657" s="4" t="s">
        <v>623</v>
      </c>
      <c r="B657" s="4">
        <v>80.099999999999994</v>
      </c>
      <c r="C657" s="4">
        <v>80.099999999999994</v>
      </c>
      <c r="D657" s="5">
        <v>0.63</v>
      </c>
      <c r="E657" s="6">
        <v>4.0000000000000003E-15</v>
      </c>
      <c r="F657" s="4">
        <v>37.4</v>
      </c>
      <c r="G657" s="4" t="str">
        <f>HYPERLINK("https://www.ncbi.nlm.nih.gov/nucleotide/XM_020270009.1?report=genbank&amp;log$=nucltop&amp;blast_rank=57&amp;RID=1U8DMT5G013","XM_020270009.1")</f>
        <v>XM_020270009.1</v>
      </c>
    </row>
    <row r="658" spans="1:7" x14ac:dyDescent="0.35">
      <c r="A658" t="s">
        <v>621</v>
      </c>
      <c r="B658">
        <v>82.8</v>
      </c>
      <c r="C658">
        <v>82.8</v>
      </c>
      <c r="D658" s="2">
        <v>0.69</v>
      </c>
      <c r="E658" s="3">
        <v>2.0000000000000002E-15</v>
      </c>
      <c r="F658">
        <v>36.99</v>
      </c>
      <c r="G658" t="str">
        <f>HYPERLINK("https://www.ncbi.nlm.nih.gov/nucleotide/XM_007758036.1?report=genbank&amp;log$=nucltop&amp;blast_rank=58&amp;RID=1U8DMT5G013","XM_007758036.1")</f>
        <v>XM_007758036.1</v>
      </c>
    </row>
    <row r="659" spans="1:7" x14ac:dyDescent="0.35">
      <c r="A659" t="s">
        <v>252</v>
      </c>
      <c r="B659">
        <v>75.099999999999994</v>
      </c>
      <c r="C659">
        <v>75.099999999999994</v>
      </c>
      <c r="D659" s="2">
        <v>0.69</v>
      </c>
      <c r="E659" s="3">
        <v>3.0000000000000001E-12</v>
      </c>
      <c r="F659">
        <v>36.99</v>
      </c>
      <c r="G659" t="str">
        <f>HYPERLINK("https://www.ncbi.nlm.nih.gov/nucleotide/XM_018185011.1?report=genbank&amp;log$=nucltop&amp;blast_rank=59&amp;RID=1U8DMT5G013","XM_018185011.1")</f>
        <v>XM_018185011.1</v>
      </c>
    </row>
    <row r="660" spans="1:7" x14ac:dyDescent="0.35">
      <c r="A660" t="s">
        <v>612</v>
      </c>
      <c r="B660">
        <v>70.5</v>
      </c>
      <c r="C660">
        <v>70.5</v>
      </c>
      <c r="D660" s="2">
        <v>0.63</v>
      </c>
      <c r="E660" s="3">
        <v>1.9999999999999999E-11</v>
      </c>
      <c r="F660">
        <v>36.799999999999997</v>
      </c>
      <c r="G660" t="str">
        <f>HYPERLINK("https://www.ncbi.nlm.nih.gov/nucleotide/XM_013568568.1?report=genbank&amp;log$=nucltop&amp;blast_rank=60&amp;RID=1U8DMT5G013","XM_013568568.1")</f>
        <v>XM_013568568.1</v>
      </c>
    </row>
    <row r="661" spans="1:7" x14ac:dyDescent="0.35">
      <c r="A661" t="s">
        <v>156</v>
      </c>
      <c r="B661">
        <v>80.099999999999994</v>
      </c>
      <c r="C661">
        <v>80.099999999999994</v>
      </c>
      <c r="D661" s="2">
        <v>0.69</v>
      </c>
      <c r="E661" s="3">
        <v>2E-14</v>
      </c>
      <c r="F661">
        <v>36.729999999999997</v>
      </c>
      <c r="G661" t="str">
        <f>HYPERLINK("https://www.ncbi.nlm.nih.gov/nucleotide/XM_013423286.1?report=genbank&amp;log$=nucltop&amp;blast_rank=61&amp;RID=1U8DMT5G013","XM_013423286.1")</f>
        <v>XM_013423286.1</v>
      </c>
    </row>
    <row r="662" spans="1:7" x14ac:dyDescent="0.35">
      <c r="A662" t="s">
        <v>1365</v>
      </c>
      <c r="B662">
        <v>80.099999999999994</v>
      </c>
      <c r="C662">
        <v>80.099999999999994</v>
      </c>
      <c r="D662" s="2">
        <v>0.69</v>
      </c>
      <c r="E662" s="3">
        <v>2E-14</v>
      </c>
      <c r="F662">
        <v>36.729999999999997</v>
      </c>
      <c r="G662" t="str">
        <f>HYPERLINK("https://www.ncbi.nlm.nih.gov/nucleotide/XM_022656113.1?report=genbank&amp;log$=nucltop&amp;blast_rank=62&amp;RID=1U8DMT5G013","XM_022656113.1")</f>
        <v>XM_022656113.1</v>
      </c>
    </row>
    <row r="663" spans="1:7" x14ac:dyDescent="0.35">
      <c r="A663" t="s">
        <v>1366</v>
      </c>
      <c r="B663">
        <v>80.900000000000006</v>
      </c>
      <c r="C663">
        <v>80.900000000000006</v>
      </c>
      <c r="D663" s="2">
        <v>0.69</v>
      </c>
      <c r="E663" s="3">
        <v>5.9999999999999997E-14</v>
      </c>
      <c r="F663">
        <v>36.729999999999997</v>
      </c>
      <c r="G663" t="str">
        <f>HYPERLINK("https://www.ncbi.nlm.nih.gov/nucleotide/XM_022646719.1?report=genbank&amp;log$=nucltop&amp;blast_rank=63&amp;RID=1U8DMT5G013","XM_022646719.1")</f>
        <v>XM_022646719.1</v>
      </c>
    </row>
    <row r="664" spans="1:7" x14ac:dyDescent="0.35">
      <c r="A664" t="s">
        <v>225</v>
      </c>
      <c r="B664">
        <v>78.599999999999994</v>
      </c>
      <c r="C664">
        <v>78.599999999999994</v>
      </c>
      <c r="D664" s="2">
        <v>0.69</v>
      </c>
      <c r="E664" s="3">
        <v>1E-13</v>
      </c>
      <c r="F664">
        <v>36.729999999999997</v>
      </c>
      <c r="G664" t="str">
        <f>HYPERLINK("https://www.ncbi.nlm.nih.gov/nucleotide/XM_007721592.1?report=genbank&amp;log$=nucltop&amp;blast_rank=64&amp;RID=1U8DMT5G013","XM_007721592.1")</f>
        <v>XM_007721592.1</v>
      </c>
    </row>
    <row r="665" spans="1:7" x14ac:dyDescent="0.35">
      <c r="A665" t="s">
        <v>1338</v>
      </c>
      <c r="B665">
        <v>73.900000000000006</v>
      </c>
      <c r="C665">
        <v>73.900000000000006</v>
      </c>
      <c r="D665" s="2">
        <v>0.69</v>
      </c>
      <c r="E665" s="3">
        <v>9.9999999999999994E-12</v>
      </c>
      <c r="F665">
        <v>36.729999999999997</v>
      </c>
      <c r="G665" t="str">
        <f>HYPERLINK("https://www.ncbi.nlm.nih.gov/nucleotide/XM_013466261.1?report=genbank&amp;log$=nucltop&amp;blast_rank=65&amp;RID=1U8DMT5G013","XM_013466261.1")</f>
        <v>XM_013466261.1</v>
      </c>
    </row>
    <row r="666" spans="1:7" x14ac:dyDescent="0.35">
      <c r="A666" t="s">
        <v>583</v>
      </c>
      <c r="B666">
        <v>54.7</v>
      </c>
      <c r="C666">
        <v>54.7</v>
      </c>
      <c r="D666" s="2">
        <v>0.42</v>
      </c>
      <c r="E666" s="3">
        <v>3.0000000000000001E-5</v>
      </c>
      <c r="F666">
        <v>36.47</v>
      </c>
      <c r="G666" t="str">
        <f>HYPERLINK("https://www.ncbi.nlm.nih.gov/nucleotide/XM_001261624.1?report=genbank&amp;log$=nucltop&amp;blast_rank=66&amp;RID=1U8DMT5G013","XM_001261624.1")</f>
        <v>XM_001261624.1</v>
      </c>
    </row>
    <row r="667" spans="1:7" x14ac:dyDescent="0.35">
      <c r="A667" s="4" t="s">
        <v>578</v>
      </c>
      <c r="B667" s="4">
        <v>52.8</v>
      </c>
      <c r="C667" s="4">
        <v>52.8</v>
      </c>
      <c r="D667" s="5">
        <v>0.42</v>
      </c>
      <c r="E667" s="6">
        <v>1E-4</v>
      </c>
      <c r="F667" s="4">
        <v>36.47</v>
      </c>
      <c r="G667" s="4" t="str">
        <f>HYPERLINK("https://www.ncbi.nlm.nih.gov/nucleotide/XM_024830164.1?report=genbank&amp;log$=nucltop&amp;blast_rank=67&amp;RID=1U8DMT5G013","XM_024830164.1")</f>
        <v>XM_024830164.1</v>
      </c>
    </row>
    <row r="668" spans="1:7" x14ac:dyDescent="0.35">
      <c r="A668" t="s">
        <v>590</v>
      </c>
      <c r="B668">
        <v>53.5</v>
      </c>
      <c r="C668">
        <v>101</v>
      </c>
      <c r="D668" s="2">
        <v>0.56000000000000005</v>
      </c>
      <c r="E668" s="3">
        <v>2.0000000000000001E-4</v>
      </c>
      <c r="F668">
        <v>36.47</v>
      </c>
      <c r="G668" t="str">
        <f>HYPERLINK("https://www.ncbi.nlm.nih.gov/nucleotide/CP045658.1?report=genbank&amp;log$=nucltop&amp;blast_rank=68&amp;RID=1U8DMT5G013","CP045658.1")</f>
        <v>CP045658.1</v>
      </c>
    </row>
    <row r="669" spans="1:7" x14ac:dyDescent="0.35">
      <c r="A669" t="s">
        <v>591</v>
      </c>
      <c r="B669">
        <v>53.5</v>
      </c>
      <c r="C669">
        <v>100</v>
      </c>
      <c r="D669" s="2">
        <v>0.56000000000000005</v>
      </c>
      <c r="E669" s="3">
        <v>2.0000000000000001E-4</v>
      </c>
      <c r="F669">
        <v>36.47</v>
      </c>
      <c r="G669" t="str">
        <f>HYPERLINK("https://www.ncbi.nlm.nih.gov/nucleotide/CP015872.1?report=genbank&amp;log$=nucltop&amp;blast_rank=69&amp;RID=1U8DMT5G013","CP015872.1")</f>
        <v>CP015872.1</v>
      </c>
    </row>
    <row r="670" spans="1:7" x14ac:dyDescent="0.35">
      <c r="A670" t="s">
        <v>1364</v>
      </c>
      <c r="B670">
        <v>73.2</v>
      </c>
      <c r="C670">
        <v>73.2</v>
      </c>
      <c r="D670" s="2">
        <v>0.72</v>
      </c>
      <c r="E670" s="3">
        <v>2E-12</v>
      </c>
      <c r="F670">
        <v>36.42</v>
      </c>
      <c r="G670" t="str">
        <f>HYPERLINK("https://www.ncbi.nlm.nih.gov/nucleotide/XM_033745282.1?report=genbank&amp;log$=nucltop&amp;blast_rank=70&amp;RID=1U8DMT5G013","XM_033745282.1")</f>
        <v>XM_033745282.1</v>
      </c>
    </row>
    <row r="671" spans="1:7" x14ac:dyDescent="0.35">
      <c r="A671" t="s">
        <v>969</v>
      </c>
      <c r="B671">
        <v>81.3</v>
      </c>
      <c r="C671">
        <v>81.3</v>
      </c>
      <c r="D671" s="2">
        <v>0.77</v>
      </c>
      <c r="E671" s="3">
        <v>2.9999999999999998E-14</v>
      </c>
      <c r="F671">
        <v>36.42</v>
      </c>
      <c r="G671" t="str">
        <f>HYPERLINK("https://www.ncbi.nlm.nih.gov/nucleotide/XM_033541563.1?report=genbank&amp;log$=nucltop&amp;blast_rank=71&amp;RID=1U8DMT5G013","XM_033541563.1")</f>
        <v>XM_033541563.1</v>
      </c>
    </row>
    <row r="672" spans="1:7" x14ac:dyDescent="0.35">
      <c r="A672" t="s">
        <v>938</v>
      </c>
      <c r="B672">
        <v>72.400000000000006</v>
      </c>
      <c r="C672">
        <v>72.400000000000006</v>
      </c>
      <c r="D672" s="2">
        <v>0.69</v>
      </c>
      <c r="E672" s="3">
        <v>1.9999999999999999E-11</v>
      </c>
      <c r="F672">
        <v>36.049999999999997</v>
      </c>
      <c r="G672" t="str">
        <f>HYPERLINK("https://www.ncbi.nlm.nih.gov/nucleotide/XM_013400778.1?report=genbank&amp;log$=nucltop&amp;blast_rank=72&amp;RID=1U8DMT5G013","XM_013400778.1")</f>
        <v>XM_013400778.1</v>
      </c>
    </row>
    <row r="673" spans="1:7" x14ac:dyDescent="0.35">
      <c r="A673" t="s">
        <v>191</v>
      </c>
      <c r="B673">
        <v>71.599999999999994</v>
      </c>
      <c r="C673">
        <v>71.599999999999994</v>
      </c>
      <c r="D673" s="2">
        <v>0.69</v>
      </c>
      <c r="E673" s="3">
        <v>3E-11</v>
      </c>
      <c r="F673">
        <v>36.049999999999997</v>
      </c>
      <c r="G673" t="str">
        <f>HYPERLINK("https://www.ncbi.nlm.nih.gov/nucleotide/XM_016384532.1?report=genbank&amp;log$=nucltop&amp;blast_rank=73&amp;RID=1U8DMT5G013","XM_016384532.1")</f>
        <v>XM_016384532.1</v>
      </c>
    </row>
    <row r="674" spans="1:7" x14ac:dyDescent="0.35">
      <c r="A674" t="s">
        <v>608</v>
      </c>
      <c r="B674">
        <v>66.2</v>
      </c>
      <c r="C674">
        <v>66.2</v>
      </c>
      <c r="D674" s="2">
        <v>0.65</v>
      </c>
      <c r="E674" s="3">
        <v>3E-9</v>
      </c>
      <c r="F674">
        <v>35.94</v>
      </c>
      <c r="G674" t="str">
        <f>HYPERLINK("https://www.ncbi.nlm.nih.gov/nucleotide/XM_018145729.1?report=genbank&amp;log$=nucltop&amp;blast_rank=74&amp;RID=1U8DMT5G013","XM_018145729.1")</f>
        <v>XM_018145729.1</v>
      </c>
    </row>
    <row r="675" spans="1:7" x14ac:dyDescent="0.35">
      <c r="A675" t="s">
        <v>254</v>
      </c>
      <c r="B675">
        <v>72.400000000000006</v>
      </c>
      <c r="C675">
        <v>72.400000000000006</v>
      </c>
      <c r="D675" s="2">
        <v>0.6</v>
      </c>
      <c r="E675" s="3">
        <v>3.0000000000000001E-12</v>
      </c>
      <c r="F675">
        <v>35.9</v>
      </c>
      <c r="G675" t="str">
        <f>HYPERLINK("https://www.ncbi.nlm.nih.gov/nucleotide/XM_018274774.1?report=genbank&amp;log$=nucltop&amp;blast_rank=75&amp;RID=1U8DMT5G013","XM_018274774.1")</f>
        <v>XM_018274774.1</v>
      </c>
    </row>
    <row r="676" spans="1:7" x14ac:dyDescent="0.35">
      <c r="A676" t="s">
        <v>148</v>
      </c>
      <c r="B676">
        <v>47</v>
      </c>
      <c r="C676">
        <v>88.2</v>
      </c>
      <c r="D676" s="2">
        <v>0.68</v>
      </c>
      <c r="E676" s="3">
        <v>2E-8</v>
      </c>
      <c r="F676">
        <v>35.85</v>
      </c>
      <c r="G676" t="str">
        <f>HYPERLINK("https://www.ncbi.nlm.nih.gov/nucleotide/XM_016769740.1?report=genbank&amp;log$=nucltop&amp;blast_rank=76&amp;RID=1U8DMT5G013","XM_016769740.1")</f>
        <v>XM_016769740.1</v>
      </c>
    </row>
    <row r="677" spans="1:7" x14ac:dyDescent="0.35">
      <c r="A677" t="s">
        <v>1318</v>
      </c>
      <c r="B677">
        <v>73.2</v>
      </c>
      <c r="C677">
        <v>73.2</v>
      </c>
      <c r="D677" s="2">
        <v>0.61</v>
      </c>
      <c r="E677" s="3">
        <v>4.9999999999999997E-12</v>
      </c>
      <c r="F677">
        <v>35.83</v>
      </c>
      <c r="G677" t="str">
        <f>HYPERLINK("https://www.ncbi.nlm.nih.gov/nucleotide/XM_008714077.1?report=genbank&amp;log$=nucltop&amp;blast_rank=77&amp;RID=1U8DMT5G013","XM_008714077.1")</f>
        <v>XM_008714077.1</v>
      </c>
    </row>
    <row r="678" spans="1:7" x14ac:dyDescent="0.35">
      <c r="A678" s="4" t="s">
        <v>1450</v>
      </c>
      <c r="B678" s="4">
        <v>55.5</v>
      </c>
      <c r="C678" s="4">
        <v>55.5</v>
      </c>
      <c r="D678" s="5">
        <v>0.7</v>
      </c>
      <c r="E678" s="6">
        <v>4.0000000000000003E-5</v>
      </c>
      <c r="F678" s="4">
        <v>35.4</v>
      </c>
      <c r="G678" s="4" t="str">
        <f>HYPERLINK("https://www.ncbi.nlm.nih.gov/nucleotide/XM_037357624.1?report=genbank&amp;log$=nucltop&amp;blast_rank=78&amp;RID=1U8DMT5G013","XM_037357624.1")</f>
        <v>XM_037357624.1</v>
      </c>
    </row>
    <row r="679" spans="1:7" x14ac:dyDescent="0.35">
      <c r="A679" t="s">
        <v>625</v>
      </c>
      <c r="B679">
        <v>62.8</v>
      </c>
      <c r="C679">
        <v>62.8</v>
      </c>
      <c r="D679" s="2">
        <v>0.68</v>
      </c>
      <c r="E679" s="3">
        <v>1E-8</v>
      </c>
      <c r="F679">
        <v>35.369999999999997</v>
      </c>
      <c r="G679" t="str">
        <f>HYPERLINK("https://www.ncbi.nlm.nih.gov/nucleotide/XM_035492496.1?report=genbank&amp;log$=nucltop&amp;blast_rank=79&amp;RID=1U8DMT5G013","XM_035492496.1")</f>
        <v>XM_035492496.1</v>
      </c>
    </row>
    <row r="680" spans="1:7" x14ac:dyDescent="0.35">
      <c r="A680" t="s">
        <v>620</v>
      </c>
      <c r="B680">
        <v>62.8</v>
      </c>
      <c r="C680">
        <v>62.8</v>
      </c>
      <c r="D680" s="2">
        <v>0.68</v>
      </c>
      <c r="E680" s="3">
        <v>9.9999999999999995E-8</v>
      </c>
      <c r="F680">
        <v>35.369999999999997</v>
      </c>
      <c r="G680" t="str">
        <f>HYPERLINK("https://www.ncbi.nlm.nih.gov/nucleotide/CP055902.1?report=genbank&amp;log$=nucltop&amp;blast_rank=80&amp;RID=1U8DMT5G013","CP055902.1")</f>
        <v>CP055902.1</v>
      </c>
    </row>
    <row r="681" spans="1:7" x14ac:dyDescent="0.35">
      <c r="A681" s="4" t="s">
        <v>586</v>
      </c>
      <c r="B681" s="4">
        <v>54.7</v>
      </c>
      <c r="C681" s="4">
        <v>54.7</v>
      </c>
      <c r="D681" s="5">
        <v>0.49</v>
      </c>
      <c r="E681" s="6">
        <v>3.0000000000000001E-5</v>
      </c>
      <c r="F681" s="4">
        <v>35.35</v>
      </c>
      <c r="G681" s="4" t="str">
        <f>HYPERLINK("https://www.ncbi.nlm.nih.gov/nucleotide/XM_002150023.1?report=genbank&amp;log$=nucltop&amp;blast_rank=81&amp;RID=1U8DMT5G013","XM_002150023.1")</f>
        <v>XM_002150023.1</v>
      </c>
    </row>
    <row r="682" spans="1:7" x14ac:dyDescent="0.35">
      <c r="A682" t="s">
        <v>630</v>
      </c>
      <c r="B682">
        <v>65.5</v>
      </c>
      <c r="C682">
        <v>65.5</v>
      </c>
      <c r="D682" s="2">
        <v>0.68</v>
      </c>
      <c r="E682" s="3">
        <v>4.0000000000000002E-9</v>
      </c>
      <c r="F682">
        <v>35.04</v>
      </c>
      <c r="G682" t="str">
        <f>HYPERLINK("https://www.ncbi.nlm.nih.gov/nucleotide/XM_037312413.1?report=genbank&amp;log$=nucltop&amp;blast_rank=82&amp;RID=1U8DMT5G013","XM_037312413.1")</f>
        <v>XM_037312413.1</v>
      </c>
    </row>
    <row r="683" spans="1:7" x14ac:dyDescent="0.35">
      <c r="A683" t="s">
        <v>631</v>
      </c>
      <c r="B683">
        <v>65.900000000000006</v>
      </c>
      <c r="C683">
        <v>65.900000000000006</v>
      </c>
      <c r="D683" s="2">
        <v>0.68</v>
      </c>
      <c r="E683" s="3">
        <v>8.0000000000000005E-9</v>
      </c>
      <c r="F683">
        <v>35.04</v>
      </c>
      <c r="G683" t="str">
        <f>HYPERLINK("https://www.ncbi.nlm.nih.gov/nucleotide/XM_037293061.1?report=genbank&amp;log$=nucltop&amp;blast_rank=83&amp;RID=1U8DMT5G013","XM_037293061.1")</f>
        <v>XM_037293061.1</v>
      </c>
    </row>
    <row r="684" spans="1:7" x14ac:dyDescent="0.35">
      <c r="A684" t="s">
        <v>626</v>
      </c>
      <c r="B684">
        <v>60.1</v>
      </c>
      <c r="C684">
        <v>60.1</v>
      </c>
      <c r="D684" s="2">
        <v>0.7</v>
      </c>
      <c r="E684" s="3">
        <v>6.9999999999999997E-7</v>
      </c>
      <c r="F684">
        <v>35.03</v>
      </c>
      <c r="G684" t="str">
        <f>HYPERLINK("https://www.ncbi.nlm.nih.gov/nucleotide/XM_037304152.1?report=genbank&amp;log$=nucltop&amp;blast_rank=84&amp;RID=1U8DMT5G013","XM_037304152.1")</f>
        <v>XM_037304152.1</v>
      </c>
    </row>
    <row r="685" spans="1:7" x14ac:dyDescent="0.35">
      <c r="A685" s="4" t="s">
        <v>585</v>
      </c>
      <c r="B685" s="4">
        <v>50.8</v>
      </c>
      <c r="C685" s="4">
        <v>50.8</v>
      </c>
      <c r="D685" s="5">
        <v>0.6</v>
      </c>
      <c r="E685" s="6">
        <v>6.9999999999999999E-4</v>
      </c>
      <c r="F685" s="4">
        <v>34.43</v>
      </c>
      <c r="G685" s="4" t="str">
        <f>HYPERLINK("https://www.ncbi.nlm.nih.gov/nucleotide/XM_002484164.1?report=genbank&amp;log$=nucltop&amp;blast_rank=85&amp;RID=1U8DMT5G013","XM_002484164.1")</f>
        <v>XM_002484164.1</v>
      </c>
    </row>
    <row r="686" spans="1:7" x14ac:dyDescent="0.35">
      <c r="A686" t="s">
        <v>611</v>
      </c>
      <c r="B686">
        <v>50.4</v>
      </c>
      <c r="C686">
        <v>50.4</v>
      </c>
      <c r="D686" s="2">
        <v>0.61</v>
      </c>
      <c r="E686" s="3">
        <v>6.9999999999999999E-4</v>
      </c>
      <c r="F686">
        <v>34.43</v>
      </c>
      <c r="G686" t="str">
        <f>HYPERLINK("https://www.ncbi.nlm.nih.gov/nucleotide/XM_018221897.1?report=genbank&amp;log$=nucltop&amp;blast_rank=86&amp;RID=1U8DMT5G013","XM_018221897.1")</f>
        <v>XM_018221897.1</v>
      </c>
    </row>
    <row r="687" spans="1:7" x14ac:dyDescent="0.35">
      <c r="A687" t="s">
        <v>973</v>
      </c>
      <c r="B687">
        <v>68.2</v>
      </c>
      <c r="C687">
        <v>68.2</v>
      </c>
      <c r="D687" s="2">
        <v>0.63</v>
      </c>
      <c r="E687" s="3">
        <v>1.0000000000000001E-9</v>
      </c>
      <c r="F687">
        <v>34.4</v>
      </c>
      <c r="G687" t="str">
        <f>HYPERLINK("https://www.ncbi.nlm.nih.gov/nucleotide/XM_029906584.1?report=genbank&amp;log$=nucltop&amp;blast_rank=87&amp;RID=1U8DMT5G013","XM_029906584.1")</f>
        <v>XM_029906584.1</v>
      </c>
    </row>
    <row r="688" spans="1:7" x14ac:dyDescent="0.35">
      <c r="A688" s="4" t="s">
        <v>972</v>
      </c>
      <c r="B688" s="4">
        <v>66.2</v>
      </c>
      <c r="C688" s="4">
        <v>66.2</v>
      </c>
      <c r="D688" s="5">
        <v>0.6</v>
      </c>
      <c r="E688" s="6">
        <v>2.0000000000000001E-10</v>
      </c>
      <c r="F688" s="4">
        <v>34.19</v>
      </c>
      <c r="G688" s="4" t="str">
        <f>HYPERLINK("https://www.ncbi.nlm.nih.gov/nucleotide/XM_013483409.1?report=genbank&amp;log$=nucltop&amp;blast_rank=88&amp;RID=1U8DMT5G013","XM_013483409.1")</f>
        <v>XM_013483409.1</v>
      </c>
    </row>
    <row r="689" spans="1:7" x14ac:dyDescent="0.35">
      <c r="A689" t="s">
        <v>177</v>
      </c>
      <c r="B689">
        <v>52.8</v>
      </c>
      <c r="C689">
        <v>52.8</v>
      </c>
      <c r="D689" s="2">
        <v>0.73</v>
      </c>
      <c r="E689" s="3">
        <v>1E-4</v>
      </c>
      <c r="F689">
        <v>34.18</v>
      </c>
      <c r="G689" t="str">
        <f>HYPERLINK("https://www.ncbi.nlm.nih.gov/nucleotide/XM_007768115.1?report=genbank&amp;log$=nucltop&amp;blast_rank=89&amp;RID=1U8DMT5G013","XM_007768115.1")</f>
        <v>XM_007768115.1</v>
      </c>
    </row>
    <row r="690" spans="1:7" x14ac:dyDescent="0.35">
      <c r="A690" t="s">
        <v>1451</v>
      </c>
      <c r="B690">
        <v>51.6</v>
      </c>
      <c r="C690">
        <v>51.6</v>
      </c>
      <c r="D690" s="2">
        <v>0.6</v>
      </c>
      <c r="E690">
        <v>1E-3</v>
      </c>
      <c r="F690">
        <v>33.9</v>
      </c>
      <c r="G690" t="str">
        <f>HYPERLINK("https://www.ncbi.nlm.nih.gov/nucleotide/CP064895.1?report=genbank&amp;log$=nucltop&amp;blast_rank=90&amp;RID=1U8DMT5G013","CP064895.1")</f>
        <v>CP064895.1</v>
      </c>
    </row>
    <row r="691" spans="1:7" x14ac:dyDescent="0.35">
      <c r="A691" t="s">
        <v>870</v>
      </c>
      <c r="B691">
        <v>50.4</v>
      </c>
      <c r="C691">
        <v>50.4</v>
      </c>
      <c r="D691" s="2">
        <v>0.69</v>
      </c>
      <c r="E691" s="3">
        <v>5.9999999999999995E-4</v>
      </c>
      <c r="F691">
        <v>33.81</v>
      </c>
      <c r="G691" t="str">
        <f>HYPERLINK("https://www.ncbi.nlm.nih.gov/nucleotide/XM_024549805.1?report=genbank&amp;log$=nucltop&amp;blast_rank=91&amp;RID=1U8DMT5G013","XM_024549805.1")</f>
        <v>XM_024549805.1</v>
      </c>
    </row>
    <row r="692" spans="1:7" x14ac:dyDescent="0.35">
      <c r="A692" s="4" t="s">
        <v>581</v>
      </c>
      <c r="B692" s="4">
        <v>53.9</v>
      </c>
      <c r="C692" s="4">
        <v>53.9</v>
      </c>
      <c r="D692" s="5">
        <v>0.6</v>
      </c>
      <c r="E692" s="6">
        <v>5.0000000000000002E-5</v>
      </c>
      <c r="F692" s="4">
        <v>33.61</v>
      </c>
      <c r="G692" s="4" t="str">
        <f>HYPERLINK("https://www.ncbi.nlm.nih.gov/nucleotide/XM_033562645.1?report=genbank&amp;log$=nucltop&amp;blast_rank=92&amp;RID=1U8DMT5G013","XM_033562645.1")</f>
        <v>XM_033562645.1</v>
      </c>
    </row>
    <row r="693" spans="1:7" x14ac:dyDescent="0.35">
      <c r="A693" t="s">
        <v>632</v>
      </c>
      <c r="B693">
        <v>60.5</v>
      </c>
      <c r="C693">
        <v>60.5</v>
      </c>
      <c r="D693" s="2">
        <v>0.7</v>
      </c>
      <c r="E693" s="3">
        <v>3.9999999999999998E-7</v>
      </c>
      <c r="F693">
        <v>33.33</v>
      </c>
      <c r="G693" t="str">
        <f>HYPERLINK("https://www.ncbi.nlm.nih.gov/nucleotide/XM_037300507.1?report=genbank&amp;log$=nucltop&amp;blast_rank=93&amp;RID=1U8DMT5G013","XM_037300507.1")</f>
        <v>XM_037300507.1</v>
      </c>
    </row>
    <row r="694" spans="1:7" x14ac:dyDescent="0.35">
      <c r="A694" t="s">
        <v>613</v>
      </c>
      <c r="B694">
        <v>52.8</v>
      </c>
      <c r="C694">
        <v>52.8</v>
      </c>
      <c r="D694" s="2">
        <v>0.69</v>
      </c>
      <c r="E694" s="3">
        <v>2.0000000000000001E-4</v>
      </c>
      <c r="F694">
        <v>33.33</v>
      </c>
      <c r="G694" t="str">
        <f>HYPERLINK("https://www.ncbi.nlm.nih.gov/nucleotide/XM_014097368.1?report=genbank&amp;log$=nucltop&amp;blast_rank=94&amp;RID=1U8DMT5G013","XM_014097368.1")</f>
        <v>XM_014097368.1</v>
      </c>
    </row>
    <row r="695" spans="1:7" x14ac:dyDescent="0.35">
      <c r="A695" t="s">
        <v>629</v>
      </c>
      <c r="B695">
        <v>55.5</v>
      </c>
      <c r="C695">
        <v>55.5</v>
      </c>
      <c r="D695" s="2">
        <v>0.84</v>
      </c>
      <c r="E695" s="3">
        <v>3.0000000000000001E-5</v>
      </c>
      <c r="F695">
        <v>32.97</v>
      </c>
      <c r="G695" t="str">
        <f>HYPERLINK("https://www.ncbi.nlm.nih.gov/nucleotide/XM_007317493.1?report=genbank&amp;log$=nucltop&amp;blast_rank=95&amp;RID=1U8DMT5G013","XM_007317493.1")</f>
        <v>XM_007317493.1</v>
      </c>
    </row>
    <row r="696" spans="1:7" x14ac:dyDescent="0.35">
      <c r="A696" s="4" t="s">
        <v>876</v>
      </c>
      <c r="B696" s="4">
        <v>50.4</v>
      </c>
      <c r="C696" s="4">
        <v>50.4</v>
      </c>
      <c r="D696" s="5">
        <v>0.75</v>
      </c>
      <c r="E696" s="4">
        <v>1E-3</v>
      </c>
      <c r="F696" s="4">
        <v>32.21</v>
      </c>
      <c r="G696" s="4" t="str">
        <f>HYPERLINK("https://www.ncbi.nlm.nih.gov/nucleotide/XM_024901619.1?report=genbank&amp;log$=nucltop&amp;blast_rank=96&amp;RID=1U8DMT5G013","XM_024901619.1")</f>
        <v>XM_024901619.1</v>
      </c>
    </row>
    <row r="697" spans="1:7" x14ac:dyDescent="0.35">
      <c r="A697" s="4" t="s">
        <v>596</v>
      </c>
      <c r="B697" s="4">
        <v>52</v>
      </c>
      <c r="C697" s="4">
        <v>52</v>
      </c>
      <c r="D697" s="5">
        <v>0.62</v>
      </c>
      <c r="E697" s="6">
        <v>2.9999999999999997E-4</v>
      </c>
      <c r="F697" s="4">
        <v>32.06</v>
      </c>
      <c r="G697" s="4" t="str">
        <f>HYPERLINK("https://www.ncbi.nlm.nih.gov/nucleotide/XM_014317887.1?report=genbank&amp;log$=nucltop&amp;blast_rank=97&amp;RID=1U8DMT5G013","XM_014317887.1")</f>
        <v>XM_014317887.1</v>
      </c>
    </row>
    <row r="698" spans="1:7" x14ac:dyDescent="0.35">
      <c r="A698" t="s">
        <v>1452</v>
      </c>
      <c r="B698">
        <v>50.4</v>
      </c>
      <c r="C698">
        <v>50.4</v>
      </c>
      <c r="D698" s="2">
        <v>0.72</v>
      </c>
      <c r="E698">
        <v>1E-3</v>
      </c>
      <c r="F698">
        <v>31.9</v>
      </c>
      <c r="G698" t="str">
        <f>HYPERLINK("https://www.ncbi.nlm.nih.gov/nucleotide/XM_036776963.1?report=genbank&amp;log$=nucltop&amp;blast_rank=98&amp;RID=1U8DMT5G013","XM_036776963.1")</f>
        <v>XM_036776963.1</v>
      </c>
    </row>
    <row r="699" spans="1:7" x14ac:dyDescent="0.35">
      <c r="A699" t="s">
        <v>628</v>
      </c>
      <c r="B699">
        <v>54.3</v>
      </c>
      <c r="C699">
        <v>54.3</v>
      </c>
      <c r="D699" s="2">
        <v>0.66</v>
      </c>
      <c r="E699" s="3">
        <v>2.0000000000000002E-5</v>
      </c>
      <c r="F699">
        <v>30.28</v>
      </c>
      <c r="G699" t="str">
        <f>HYPERLINK("https://www.ncbi.nlm.nih.gov/nucleotide/XM_013469976.1?report=genbank&amp;log$=nucltop&amp;blast_rank=99&amp;RID=1U8DMT5G013","XM_013469976.1")</f>
        <v>XM_013469976.1</v>
      </c>
    </row>
    <row r="700" spans="1:7" x14ac:dyDescent="0.35">
      <c r="A700" t="s">
        <v>633</v>
      </c>
      <c r="B700">
        <v>56.2</v>
      </c>
      <c r="C700">
        <v>56.2</v>
      </c>
      <c r="D700" s="2">
        <v>0.73</v>
      </c>
      <c r="E700" s="3">
        <v>2.0000000000000002E-5</v>
      </c>
      <c r="F700">
        <v>29.59</v>
      </c>
      <c r="G700" t="str">
        <f>HYPERLINK("https://www.ncbi.nlm.nih.gov/nucleotide/XM_025520457.1?report=genbank&amp;log$=nucltop&amp;blast_rank=100&amp;RID=1U8DMT5G013","XM_025520457.1")</f>
        <v>XM_025520457.1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Armbor1 S7.3 &amp; S46.1</vt:lpstr>
      <vt:lpstr>Armcep1 S262.2 and S270.2</vt:lpstr>
      <vt:lpstr>Armfum1 S5.2 and S10.2</vt:lpstr>
      <vt:lpstr>Armme1 S3.5 and S10.2</vt:lpstr>
      <vt:lpstr>Armnab1 S9.2 and S10.2</vt:lpstr>
      <vt:lpstr>Armnov1 S5.8</vt:lpstr>
      <vt:lpstr>(Des)Armect1 S5.4 and S11.2</vt:lpstr>
      <vt:lpstr>(Des)Armtab1 S1.4 and S55.1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Deborah</dc:creator>
  <cp:lastModifiedBy>Deborah</cp:lastModifiedBy>
  <dcterms:created xsi:type="dcterms:W3CDTF">2023-06-12T05:30:54Z</dcterms:created>
  <dcterms:modified xsi:type="dcterms:W3CDTF">2023-07-07T17:26:08Z</dcterms:modified>
</cp:coreProperties>
</file>