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 defaultThemeVersion="124226"/>
  <xr:revisionPtr revIDLastSave="98" documentId="11_181EEFE8B7370473D4EB990E936418F3706FA776" xr6:coauthVersionLast="47" xr6:coauthVersionMax="47" xr10:uidLastSave="{94141D1B-C9AA-4F47-BC90-36660D05E4B6}"/>
  <bookViews>
    <workbookView xWindow="28680" yWindow="-120" windowWidth="29040" windowHeight="15840" tabRatio="892" activeTab="2" xr2:uid="{00000000-000D-0000-FFFF-FFFF00000000}"/>
  </bookViews>
  <sheets>
    <sheet name="LEGENDS" sheetId="16" r:id="rId1"/>
    <sheet name="SHEET A" sheetId="15" r:id="rId2"/>
    <sheet name="SHEET A2" sheetId="23" r:id="rId3"/>
    <sheet name="SHEET B" sheetId="8" r:id="rId4"/>
    <sheet name="SHEET C" sheetId="11" r:id="rId5"/>
    <sheet name="SHEET D" sheetId="17" r:id="rId6"/>
    <sheet name="SHEET E" sheetId="22" r:id="rId7"/>
    <sheet name="SHEET F" sheetId="21" r:id="rId8"/>
  </sheets>
  <externalReferences>
    <externalReference r:id="rId9"/>
  </externalReferences>
  <definedNames>
    <definedName name="_xlnm._FilterDatabase" localSheetId="1" hidden="1">'SHEET A'!$A$2:$C$37</definedName>
    <definedName name="_xlnm.Print_Area" localSheetId="3">'SHEET B'!$A$1:$D$67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23" l="1"/>
  <c r="B34" i="15" l="1"/>
  <c r="B28" i="15"/>
  <c r="B25" i="15"/>
  <c r="B20" i="15"/>
  <c r="B16" i="15"/>
  <c r="B14" i="15"/>
  <c r="B11" i="15"/>
  <c r="B4" i="15"/>
  <c r="B10" i="21"/>
  <c r="B9" i="21"/>
  <c r="B8" i="21"/>
  <c r="B7" i="21"/>
  <c r="B6" i="21"/>
  <c r="B5" i="21"/>
  <c r="B4" i="21"/>
  <c r="F13" i="21" l="1"/>
  <c r="F12" i="21"/>
  <c r="F11" i="21"/>
  <c r="F27" i="21"/>
  <c r="F26" i="21"/>
  <c r="F25" i="21"/>
  <c r="B27" i="21"/>
  <c r="B26" i="21"/>
  <c r="B25" i="21"/>
  <c r="B24" i="21"/>
  <c r="B23" i="21"/>
  <c r="B21" i="21"/>
  <c r="B20" i="21"/>
  <c r="G15" i="15" l="1"/>
  <c r="F16" i="15"/>
  <c r="G16" i="15" s="1"/>
  <c r="F18" i="15"/>
  <c r="G18" i="15" s="1"/>
  <c r="F17" i="15"/>
  <c r="G17" i="15" s="1"/>
  <c r="B5" i="8" l="1"/>
  <c r="B4" i="8"/>
  <c r="B6" i="8" s="1"/>
  <c r="B7" i="8" s="1"/>
  <c r="C183" i="17" l="1"/>
  <c r="D183" i="17" s="1"/>
  <c r="C214" i="17"/>
  <c r="D212" i="17"/>
  <c r="D204" i="17"/>
  <c r="B197" i="17"/>
  <c r="D195" i="17"/>
  <c r="B192" i="17"/>
  <c r="B118" i="11"/>
  <c r="B120" i="11" s="1"/>
  <c r="B113" i="11"/>
  <c r="D214" i="17" l="1"/>
  <c r="B199" i="17"/>
  <c r="B26" i="8" l="1"/>
  <c r="C23" i="15" l="1"/>
  <c r="C22" i="15"/>
  <c r="B25" i="17" s="1"/>
  <c r="C21" i="15"/>
  <c r="B100" i="17" s="1"/>
  <c r="B179" i="17" l="1"/>
  <c r="B180" i="17" s="1"/>
  <c r="B141" i="17"/>
  <c r="B142" i="17" s="1"/>
  <c r="B81" i="11"/>
  <c r="B82" i="11" s="1"/>
  <c r="B103" i="17"/>
  <c r="B104" i="17" s="1"/>
  <c r="B52" i="11"/>
  <c r="B53" i="11" s="1"/>
  <c r="B65" i="17"/>
  <c r="B66" i="17" s="1"/>
  <c r="B23" i="11"/>
  <c r="B27" i="17"/>
  <c r="B62" i="17"/>
  <c r="B24" i="17"/>
  <c r="B138" i="17"/>
  <c r="B176" i="17"/>
  <c r="B63" i="17"/>
  <c r="B101" i="17"/>
  <c r="B177" i="17"/>
  <c r="B139" i="17"/>
  <c r="B181" i="17" l="1"/>
  <c r="B105" i="17"/>
  <c r="B28" i="17"/>
  <c r="B29" i="17" s="1"/>
  <c r="B24" i="11"/>
  <c r="B143" i="17"/>
  <c r="B67" i="17"/>
  <c r="D165" i="17" l="1"/>
  <c r="D127" i="17"/>
  <c r="D89" i="17"/>
  <c r="D51" i="17" l="1"/>
  <c r="D175" i="17"/>
  <c r="D160" i="17"/>
  <c r="B157" i="17"/>
  <c r="D152" i="17"/>
  <c r="B149" i="17"/>
  <c r="D146" i="17"/>
  <c r="D137" i="17"/>
  <c r="D122" i="17"/>
  <c r="B119" i="17"/>
  <c r="D114" i="17"/>
  <c r="B111" i="17"/>
  <c r="D108" i="17"/>
  <c r="D99" i="17"/>
  <c r="D84" i="17"/>
  <c r="B81" i="17"/>
  <c r="D76" i="17"/>
  <c r="B73" i="17"/>
  <c r="D70" i="17"/>
  <c r="D61" i="17"/>
  <c r="D46" i="17"/>
  <c r="B43" i="17"/>
  <c r="D38" i="17"/>
  <c r="B35" i="17"/>
  <c r="D32" i="17"/>
  <c r="D23" i="17"/>
  <c r="D11" i="17"/>
  <c r="C105" i="11"/>
  <c r="D105" i="11" s="1"/>
  <c r="C135" i="11"/>
  <c r="D77" i="11"/>
  <c r="D48" i="11"/>
  <c r="D100" i="11"/>
  <c r="B97" i="11"/>
  <c r="D92" i="11"/>
  <c r="B89" i="11"/>
  <c r="D86" i="11"/>
  <c r="D71" i="11"/>
  <c r="B68" i="11"/>
  <c r="D63" i="11"/>
  <c r="B60" i="11"/>
  <c r="D57" i="11"/>
  <c r="D42" i="11"/>
  <c r="B39" i="11"/>
  <c r="D34" i="11"/>
  <c r="B31" i="11"/>
  <c r="D28" i="11"/>
  <c r="D19" i="11" l="1"/>
  <c r="D11" i="11"/>
  <c r="C67" i="8"/>
  <c r="D67" i="8" s="1"/>
  <c r="B64" i="8"/>
  <c r="D61" i="8"/>
  <c r="D55" i="8"/>
  <c r="D47" i="8"/>
  <c r="D38" i="8"/>
  <c r="D29" i="8"/>
  <c r="B31" i="8"/>
  <c r="B33" i="8" s="1"/>
  <c r="D23" i="8"/>
  <c r="D17" i="8"/>
  <c r="D9" i="8"/>
  <c r="C8" i="15"/>
  <c r="B133" i="17" s="1"/>
  <c r="C27" i="15"/>
  <c r="B21" i="11" s="1"/>
  <c r="C26" i="15"/>
  <c r="B49" i="11" l="1"/>
  <c r="B20" i="11"/>
  <c r="B25" i="11" s="1"/>
  <c r="B78" i="11"/>
  <c r="B18" i="8"/>
  <c r="B19" i="8"/>
  <c r="B79" i="11"/>
  <c r="B50" i="11"/>
  <c r="B57" i="17"/>
  <c r="B20" i="17"/>
  <c r="B171" i="17"/>
  <c r="B95" i="17"/>
  <c r="B56" i="8"/>
  <c r="B57" i="8"/>
  <c r="B20" i="8"/>
  <c r="C10" i="15"/>
  <c r="C9" i="15"/>
  <c r="D133" i="11"/>
  <c r="D125" i="11"/>
  <c r="D116" i="11"/>
  <c r="C32" i="15"/>
  <c r="C7" i="15"/>
  <c r="C29" i="15"/>
  <c r="B83" i="11" l="1"/>
  <c r="B54" i="11"/>
  <c r="B15" i="17"/>
  <c r="B14" i="17"/>
  <c r="B40" i="11"/>
  <c r="B69" i="11"/>
  <c r="B44" i="17"/>
  <c r="B91" i="17"/>
  <c r="B13" i="17"/>
  <c r="B12" i="8"/>
  <c r="B16" i="17"/>
  <c r="B14" i="8"/>
  <c r="B13" i="11"/>
  <c r="B49" i="8"/>
  <c r="B11" i="8"/>
  <c r="B52" i="8"/>
  <c r="B16" i="11"/>
  <c r="B53" i="17"/>
  <c r="B129" i="17"/>
  <c r="B167" i="17"/>
  <c r="B50" i="8"/>
  <c r="B14" i="11"/>
  <c r="B82" i="17"/>
  <c r="B158" i="17"/>
  <c r="B120" i="17"/>
  <c r="B98" i="11"/>
  <c r="B58" i="8"/>
  <c r="D135" i="11"/>
  <c r="C5" i="15"/>
  <c r="C6" i="15"/>
  <c r="B19" i="17" l="1"/>
  <c r="B56" i="17"/>
  <c r="B13" i="8"/>
  <c r="B15" i="8" s="1"/>
  <c r="B21" i="8" s="1"/>
  <c r="B55" i="17"/>
  <c r="B18" i="17"/>
  <c r="B93" i="17"/>
  <c r="B131" i="17"/>
  <c r="B169" i="17"/>
  <c r="B132" i="17"/>
  <c r="B170" i="17"/>
  <c r="B94" i="17"/>
  <c r="B15" i="11"/>
  <c r="B17" i="11" s="1"/>
  <c r="B26" i="11" s="1"/>
  <c r="B51" i="8"/>
  <c r="C12" i="15"/>
  <c r="B58" i="17" l="1"/>
  <c r="B21" i="17"/>
  <c r="B30" i="17" s="1"/>
  <c r="B53" i="8"/>
  <c r="B59" i="8" s="1"/>
  <c r="B134" i="17"/>
  <c r="B96" i="17"/>
  <c r="B172" i="17"/>
  <c r="B32" i="17"/>
  <c r="B70" i="17"/>
  <c r="B74" i="17" s="1"/>
  <c r="B86" i="11"/>
  <c r="B90" i="11" s="1"/>
  <c r="B108" i="17"/>
  <c r="B112" i="17" s="1"/>
  <c r="B146" i="17"/>
  <c r="B150" i="17" s="1"/>
  <c r="B57" i="11"/>
  <c r="B61" i="11" s="1"/>
  <c r="B28" i="11"/>
  <c r="B61" i="8"/>
  <c r="B65" i="8" s="1"/>
  <c r="B66" i="8" s="1"/>
  <c r="B23" i="8"/>
  <c r="B27" i="8" s="1"/>
  <c r="C31" i="15"/>
  <c r="B198" i="17" s="1"/>
  <c r="B200" i="17" s="1"/>
  <c r="C30" i="15"/>
  <c r="C33" i="15"/>
  <c r="B204" i="17" s="1"/>
  <c r="B207" i="17" s="1"/>
  <c r="C35" i="15"/>
  <c r="B205" i="17" s="1"/>
  <c r="B208" i="17" s="1"/>
  <c r="C36" i="15"/>
  <c r="B206" i="17" s="1"/>
  <c r="B209" i="17" s="1"/>
  <c r="C37" i="15"/>
  <c r="C15" i="15"/>
  <c r="C13" i="15"/>
  <c r="C17" i="15"/>
  <c r="C18" i="15"/>
  <c r="C19" i="15"/>
  <c r="B36" i="17" l="1"/>
  <c r="B32" i="11"/>
  <c r="B210" i="17"/>
  <c r="B111" i="11"/>
  <c r="B114" i="11" s="1"/>
  <c r="B190" i="17"/>
  <c r="B193" i="17" s="1"/>
  <c r="B35" i="8"/>
  <c r="B201" i="17"/>
  <c r="B202" i="17" s="1"/>
  <c r="B6" i="17"/>
  <c r="B7" i="17" s="1"/>
  <c r="B154" i="17"/>
  <c r="B155" i="17" s="1"/>
  <c r="B36" i="11"/>
  <c r="B116" i="17"/>
  <c r="B117" i="17" s="1"/>
  <c r="B65" i="11"/>
  <c r="B66" i="11" s="1"/>
  <c r="B75" i="11" s="1"/>
  <c r="B78" i="17"/>
  <c r="B79" i="17" s="1"/>
  <c r="B40" i="17"/>
  <c r="B41" i="17" s="1"/>
  <c r="B94" i="11"/>
  <c r="B95" i="11" s="1"/>
  <c r="B5" i="17"/>
  <c r="B4" i="17"/>
  <c r="B101" i="11"/>
  <c r="B103" i="11" s="1"/>
  <c r="B72" i="11"/>
  <c r="B74" i="11" s="1"/>
  <c r="B43" i="11"/>
  <c r="B45" i="11" s="1"/>
  <c r="B47" i="17"/>
  <c r="B49" i="17" s="1"/>
  <c r="B123" i="17"/>
  <c r="B125" i="17" s="1"/>
  <c r="B161" i="17"/>
  <c r="B163" i="17" s="1"/>
  <c r="B85" i="17"/>
  <c r="B87" i="17" s="1"/>
  <c r="B122" i="11"/>
  <c r="B6" i="11"/>
  <c r="B7" i="11" s="1"/>
  <c r="B40" i="8"/>
  <c r="B43" i="8" s="1"/>
  <c r="B127" i="11"/>
  <c r="B130" i="11" s="1"/>
  <c r="B126" i="11"/>
  <c r="B129" i="11" s="1"/>
  <c r="B4" i="11"/>
  <c r="B125" i="11"/>
  <c r="B128" i="11" s="1"/>
  <c r="B119" i="11"/>
  <c r="B121" i="11" s="1"/>
  <c r="B32" i="8"/>
  <c r="B34" i="8" s="1"/>
  <c r="B38" i="8"/>
  <c r="B41" i="8" s="1"/>
  <c r="B39" i="8"/>
  <c r="B42" i="8" s="1"/>
  <c r="B5" i="11"/>
  <c r="B173" i="17" l="1"/>
  <c r="B97" i="17"/>
  <c r="B135" i="17"/>
  <c r="B59" i="17"/>
  <c r="B131" i="11"/>
  <c r="B104" i="11"/>
  <c r="B84" i="11"/>
  <c r="B36" i="8"/>
  <c r="B44" i="8"/>
  <c r="B214" i="17"/>
  <c r="B106" i="17"/>
  <c r="B123" i="11"/>
  <c r="B8" i="17"/>
  <c r="B8" i="11"/>
  <c r="B37" i="11"/>
  <c r="B55" i="11" s="1"/>
  <c r="B68" i="17"/>
  <c r="B45" i="8" l="1"/>
  <c r="B67" i="8" s="1"/>
  <c r="B46" i="11"/>
  <c r="B9" i="11"/>
  <c r="B9" i="17"/>
  <c r="B144" i="17"/>
  <c r="B182" i="17"/>
  <c r="B135" i="11"/>
  <c r="B183" i="17" l="1"/>
  <c r="B220" i="17" s="1"/>
  <c r="B105" i="11"/>
  <c r="B140" i="11" s="1"/>
  <c r="B11" i="21" l="1"/>
  <c r="B12" i="21"/>
  <c r="B13" i="21" l="1"/>
</calcChain>
</file>

<file path=xl/sharedStrings.xml><?xml version="1.0" encoding="utf-8"?>
<sst xmlns="http://schemas.openxmlformats.org/spreadsheetml/2006/main" count="991" uniqueCount="318">
  <si>
    <t>MONTHS</t>
  </si>
  <si>
    <t>YEARS</t>
  </si>
  <si>
    <t xml:space="preserve">MONTHS </t>
  </si>
  <si>
    <t>RANDS</t>
  </si>
  <si>
    <t xml:space="preserve">Cost of genotyping </t>
  </si>
  <si>
    <t xml:space="preserve">Sowing - seedling production cost </t>
  </si>
  <si>
    <t xml:space="preserve">Number of trial sites </t>
  </si>
  <si>
    <t>Number seedlings produced for SNP genotyping</t>
  </si>
  <si>
    <t xml:space="preserve">Number of replication per trial site </t>
  </si>
  <si>
    <t>Total number of seedlings planted across the 3 trial sites</t>
  </si>
  <si>
    <t xml:space="preserve">Blanking cost per seedling </t>
  </si>
  <si>
    <t>Total cost of blanking across all sites</t>
  </si>
  <si>
    <t>Survival assessment cost per tree at year 1</t>
  </si>
  <si>
    <t xml:space="preserve">SNP genotyping cost and processing </t>
  </si>
  <si>
    <t>GS MODEL A UPDATE FROM 1500 CP 3RD GEBV PREDICTED SEEDLINGS</t>
  </si>
  <si>
    <t xml:space="preserve">CLONAL TRIAL ESTABLISHMENT </t>
  </si>
  <si>
    <t xml:space="preserve">CLONAL TRIAL ASSESSMENT </t>
  </si>
  <si>
    <t>GS MODEL A + B DEVELOPMENT</t>
  </si>
  <si>
    <t xml:space="preserve">Consolidation of phenotypic data with genotypic data </t>
  </si>
  <si>
    <t xml:space="preserve"> Model cross - validation analysis </t>
  </si>
  <si>
    <t xml:space="preserve">Rands </t>
  </si>
  <si>
    <t>Years</t>
  </si>
  <si>
    <t xml:space="preserve">GS Model A+B update -  clonal trial </t>
  </si>
  <si>
    <t xml:space="preserve">Total nursery sowing cost to produce seedlings for trial </t>
  </si>
  <si>
    <t>Total trial estalishment cost</t>
  </si>
  <si>
    <t>Growth assessment cost per tree at year 7</t>
  </si>
  <si>
    <t xml:space="preserve">Wood quality assessment cost per tree at year 7 </t>
  </si>
  <si>
    <t xml:space="preserve">Total cost survival assessment </t>
  </si>
  <si>
    <t>Total cost wood quality quality assessement</t>
  </si>
  <si>
    <t>Total cost growth assessement</t>
  </si>
  <si>
    <t>Number of families (open pollinated (OP) seeds)</t>
  </si>
  <si>
    <t>Trial establisment cost per seedling (site preparation + Fertiliser + Labeling)</t>
  </si>
  <si>
    <t>Total cost (assessments and seed collection at  year 8)</t>
  </si>
  <si>
    <t>TRIAL ESTABLISHMENT, ASSESSEMENT AND OP SEED COLLECTION OF 300 3RD GEN FAMILIES</t>
  </si>
  <si>
    <t>GEBV PREDICTION  OF 2ND GENNERATION OP SEEDLINGS (GS MODEL A)</t>
  </si>
  <si>
    <t>GEBV selections (GS model A)</t>
  </si>
  <si>
    <t xml:space="preserve">Ramet number per GEBV selections </t>
  </si>
  <si>
    <t>Production cost (Seed sowing)</t>
  </si>
  <si>
    <t xml:space="preserve">Total cost of genotyping </t>
  </si>
  <si>
    <t xml:space="preserve">Total cost for phenotyping </t>
  </si>
  <si>
    <t>Cuttings production cost (GEBV selections into clonal hedges)</t>
  </si>
  <si>
    <t>TOTAL COST OF GS BREEDIGN STRATEGY + GS MODEL A+B OVER 17 YEARS</t>
  </si>
  <si>
    <t>GS MODEL A+B TRAINING (3RD GENETRATION)</t>
  </si>
  <si>
    <t xml:space="preserve">NURSERY CUTTINGS  </t>
  </si>
  <si>
    <t xml:space="preserve">Trait assessment - Growth &amp; wood quality </t>
  </si>
  <si>
    <t>1st Generation - Progeny trial</t>
  </si>
  <si>
    <t>Trial establishment - 3 sites with 3 reps</t>
  </si>
  <si>
    <t xml:space="preserve">Trait phenotyping - Growth &amp; wood quality </t>
  </si>
  <si>
    <t>GS breeding strategy costs and duration</t>
  </si>
  <si>
    <t>COST OF GS MODEL A TRAININING AND 300 GEBV SELECTIONS</t>
  </si>
  <si>
    <t>Total genotyping cost</t>
  </si>
  <si>
    <t xml:space="preserve">Total operation steps </t>
  </si>
  <si>
    <t>Rands</t>
  </si>
  <si>
    <t xml:space="preserve">Cost of genotyping per samples </t>
  </si>
  <si>
    <t xml:space="preserve">Growth assessment cost per tree </t>
  </si>
  <si>
    <t xml:space="preserve">Simulated Costing units </t>
  </si>
  <si>
    <t xml:space="preserve">Production cost per seedling </t>
  </si>
  <si>
    <t xml:space="preserve">Proportion of operational breeding steps </t>
  </si>
  <si>
    <t xml:space="preserve">Proportion of genotyping cost </t>
  </si>
  <si>
    <t xml:space="preserve">Dollas </t>
  </si>
  <si>
    <t>Cost ratio: GS vs TB</t>
  </si>
  <si>
    <t>Sheet A</t>
  </si>
  <si>
    <t>Appendix A</t>
  </si>
  <si>
    <t>Sheet B</t>
  </si>
  <si>
    <t>Sheet C</t>
  </si>
  <si>
    <t>Sheet D</t>
  </si>
  <si>
    <t xml:space="preserve">The itemized cost of the operation breeding activities for the traditional and genomic selection breeding strategies. </t>
  </si>
  <si>
    <t>Summary of the cost and the cost ratios between traditional and genomic selection breeding strategies based on 100 and 50 percent genotyping costs.</t>
  </si>
  <si>
    <t xml:space="preserve">Comparative operational cost analysis of simulated traditional progeny breeding and genomic selection breeding cycles over 17 years. </t>
  </si>
  <si>
    <t xml:space="preserve">A list of the operational steps of the traditional breeding strategy and the associated cost over 17 years. </t>
  </si>
  <si>
    <t xml:space="preserve">A list of the operational steps of the genomic selection breeding strategy and the associated cost over 17 years. </t>
  </si>
  <si>
    <t xml:space="preserve">Trial establishment cost per plant (Site preparation + Fertiliser + Labeling) </t>
  </si>
  <si>
    <t>Wood quality assessment cost per tree (Resito + Swarf + NIR)</t>
  </si>
  <si>
    <t>NURSERY SOWING (3RD GENERATION - 100 FAMILIES)</t>
  </si>
  <si>
    <t>GEBV PREDICTION  OF 3RD GENNERATION OP SEEDLINGS (GS MODEL A)</t>
  </si>
  <si>
    <t>NURSERY CUTTINGS ESTABLISH A RCH  (TOP 100 3RD GENERATION GEBV SELECTIONS)</t>
  </si>
  <si>
    <t>NURSERY SOWING (4TH GENERATION - 100 CP FAMILIES)</t>
  </si>
  <si>
    <t>NURSERY CUTTINGS  ESTABLISH A RCH (TOP 100 4TH GENERATION GEBV SELECTIONS)</t>
  </si>
  <si>
    <t xml:space="preserve">Number of seedlings to produce per family </t>
  </si>
  <si>
    <t xml:space="preserve">NURSERY - ESTABLISH SIGNLE SEEDLING RCH  (2ND GENERATION 100 SELECTIONS) </t>
  </si>
  <si>
    <t>Cuttings production cost</t>
  </si>
  <si>
    <t>Total production cost (5 ramets per single seedling hedge)</t>
  </si>
  <si>
    <t>Number of cuttings generated from the sigle seedling hedge</t>
  </si>
  <si>
    <t>Total production cost (5 ramets per clonal hedge)</t>
  </si>
  <si>
    <t xml:space="preserve">NURSERY - ESTABLISH SIGNLE SEEDLING RCH  (3RD GENERATION 100 SELECTIONS) </t>
  </si>
  <si>
    <t>TRADITIONAL BREEDING STRATEGY FOR EUCALYPTUS DUNNII</t>
  </si>
  <si>
    <t xml:space="preserve">Number of selection from 1st  gen trial </t>
  </si>
  <si>
    <t xml:space="preserve">Cost of climbing trees to collect scion </t>
  </si>
  <si>
    <t xml:space="preserve">Number of rootsctock for grafting </t>
  </si>
  <si>
    <t xml:space="preserve">CSO establishment cost per selection </t>
  </si>
  <si>
    <t>Production cost per cutting</t>
  </si>
  <si>
    <t>Blanking cost per seedling or cutting</t>
  </si>
  <si>
    <t>Trials survival and status assessment cost per tree</t>
  </si>
  <si>
    <t xml:space="preserve">Tree felling cost per tree (OP seed collection or stump coppicing) </t>
  </si>
  <si>
    <t xml:space="preserve">CLONAL SEED ORCHARD (CSO) ESTABLISHMENT (1ST GENERATION 100 SELECTIONS) </t>
  </si>
  <si>
    <t>NURSERY SOWING (2ND GENERATION - 100 FAMILIES FROM 1ST GENERATION CSO)</t>
  </si>
  <si>
    <t xml:space="preserve">TRIAL ESTABLISHMENT (2ND GENERATION PROGENY TESTING - 100 FAMILIES) </t>
  </si>
  <si>
    <t xml:space="preserve">TRIAL ASSESSMENT (2ND GENERATION PROGENY TESTING - 100 FAMILIES) </t>
  </si>
  <si>
    <t>Wood quality assessment cost per tree at year 4</t>
  </si>
  <si>
    <t>Growth assessment cost per tree at year 4</t>
  </si>
  <si>
    <t>GRAFTING FROM (2ND GENERATION - 100 SELECTIONS)</t>
  </si>
  <si>
    <t>GENOMIC SELECTION BREEDING STRATEGY FOR EUCALYPTUS DUNNII</t>
  </si>
  <si>
    <t>GRAFTING FROM (1ST GENERATION - 100 SELECTIONS)</t>
  </si>
  <si>
    <t xml:space="preserve">CLONAL SEED ORCHARD (CSO) ESTABLISHMENT (2ND GENERATION 100 SELECTIONS) </t>
  </si>
  <si>
    <t xml:space="preserve">TOTAL COST OF PHENOTYPIC BLUP-BASED BREEDING STRATEGY OVER 22 YEARS </t>
  </si>
  <si>
    <t xml:space="preserve">TOTAL COST OF TRADITIONAL PROGENY TEST BREEDING STRATEGY OVER 22 YEARS </t>
  </si>
  <si>
    <t xml:space="preserve">CLONAL POTTED SEED ORCHARD (CPSO) ESTABLISHMENT (1ST GENERATION 100 SELECTIONS) </t>
  </si>
  <si>
    <t>COST OF GS MODEL A TRAININING AND 100 GEBV SELECTIONS</t>
  </si>
  <si>
    <t xml:space="preserve">COST OF ESTABLISHING 2ND CLONAL POTTED SEED ORCHARD FROM GEBV SELECTED CUTTIGNS </t>
  </si>
  <si>
    <t xml:space="preserve">COST OF ESTABLISHING 1ST CLONAL POTTED SEED ORCHARD GEBV SELECTED TREES </t>
  </si>
  <si>
    <t xml:space="preserve">COST OF ESTABLISHING 3RD CLONAL POTTED SEED ORCHARD FROM GEBV SELECTED CUTTIGNS </t>
  </si>
  <si>
    <t xml:space="preserve">COST OF ESTABLISHING 4TH CLONAL POTTED SEED ORCHARD FROM GEBV SELECTED CUTTIGNS </t>
  </si>
  <si>
    <t xml:space="preserve">COST OF ESTABLISHING 5TH CLONAL POTTED SEED ORCHARD FROM GEBV SELECTED CUTTIGNS </t>
  </si>
  <si>
    <t>GS MODEL A - TRAINING (1ST GENERATION to CROSS validation selection of 100 from the 5000 trees)</t>
  </si>
  <si>
    <t xml:space="preserve">Seedling production cost </t>
  </si>
  <si>
    <t>Number of families to predict with GS models A</t>
  </si>
  <si>
    <t xml:space="preserve">Number seedlings to per family  predicti with GS models A </t>
  </si>
  <si>
    <t xml:space="preserve">Total cost for SNP genotyping for GS models A GEBV prediction </t>
  </si>
  <si>
    <t xml:space="preserve">Top 100 GEBV individuals  selected using GEBV </t>
  </si>
  <si>
    <t xml:space="preserve">Production cost per cuttings </t>
  </si>
  <si>
    <t>MICRO-GRAFTING (2ND GENERATION - 100 SELECTIONS)</t>
  </si>
  <si>
    <t>NURSERY SOWING (2ND GENERATION - 100 FAMILIES FROM 1ST GENERATION PSO)</t>
  </si>
  <si>
    <t>Number of 3rd Gen  top 100 GEBV selecte individuals</t>
  </si>
  <si>
    <t>GRAFTING FROM (3RD GENERATION - 100 SELECTIONS)</t>
  </si>
  <si>
    <t xml:space="preserve">CLONAL SEED ORCHARD (CSO) ESTABLISHMENT (3RD GENERATION 100 SELECTIONS) </t>
  </si>
  <si>
    <t>GRAFTING FROM (4TH GENERATION - 100 SELECTIONS)</t>
  </si>
  <si>
    <t xml:space="preserve">CLONAL SEED ORCHARD (CSO) ESTABLISHMENT (4TH GENERATION 100 SELECTIONS) </t>
  </si>
  <si>
    <t>NURSERY SOWING (4TH GENERATION - 100 FAMILIES FROM 3RD GENERATION CSO)</t>
  </si>
  <si>
    <t>NURSERY SOWING (3RD GENERATION - 100 FAMILIES FROM 2ND GENERATION CSO)</t>
  </si>
  <si>
    <t>NURSERY SOWING (3RD GENERATION - 100 FAMILIES FROM 1ST GENERATION PSO)</t>
  </si>
  <si>
    <t>Total cost of establishing and management of CSO over 5 years</t>
  </si>
  <si>
    <t>GEBV PREDICTION  OF 4TH GENNERATION CP SEEDLINGS (GS MODEL A+B)</t>
  </si>
  <si>
    <t>Number of families to predict with GS models A+B</t>
  </si>
  <si>
    <t>GEBV selections (GS model A+B)</t>
  </si>
  <si>
    <t>GEBV PREDICTION  OF 4TH GENERATION OP SEEDLINGS (GS MODEL A)</t>
  </si>
  <si>
    <t>Number of 5th Gen  top 100 GEBV selected individuals</t>
  </si>
  <si>
    <t>Number of 4th Gen  top 100 GEBV selecte individuals</t>
  </si>
  <si>
    <t xml:space="preserve">COST OF ESTABLISHING 2ND CLONAL SEED ORCHARD GEBV SELECTED TREES </t>
  </si>
  <si>
    <t xml:space="preserve">COST OF ESTABLISHING 3RD CLONAL SEED ORCHARD GEBV SELECTED TREES </t>
  </si>
  <si>
    <t xml:space="preserve">COST OF GENERATIONG 4TH GENERATION GRAFT FOR POTTED CLONAL SEED ORCHARD  </t>
  </si>
  <si>
    <t>TRIAL ESTABLISHMENT, ASSESSEMENT AND GRAFTING OF 100 1ST GEN SELECTIONS</t>
  </si>
  <si>
    <t>TRIAL ESTABLISHMENT, ASSESSEMENT AND SELECTION OF 100 2ND GEN SELECTIONS</t>
  </si>
  <si>
    <t>GS model A - prediction (20 seedlings per families)</t>
  </si>
  <si>
    <t>Make 5 ramets each from top 100 GEBV selections in RCH</t>
  </si>
  <si>
    <t>Sowing of OP seed from 100 selections</t>
  </si>
  <si>
    <t>Cost ratio: GS (FT-OX) vs GS</t>
  </si>
  <si>
    <t>1st Generation grafts in CSO - breeding cycle 1</t>
  </si>
  <si>
    <t>Nursery - Sowing of100 OP families</t>
  </si>
  <si>
    <t>2nd Generation grafts in CSO - breeding cycle 2</t>
  </si>
  <si>
    <t xml:space="preserve">Normal grafting of 1st Gen 100 selections </t>
  </si>
  <si>
    <t xml:space="preserve">Collection of scion from 100 selections </t>
  </si>
  <si>
    <t>1st Generation grafted CSO - breeding cycle 1</t>
  </si>
  <si>
    <t>Total cost of managing 200 grafts in a CSO for 5 years untill harvesting of OP seed</t>
  </si>
  <si>
    <t>Total cost of establishing grafts in 200 grafts in clonal seed orchard (CSO)</t>
  </si>
  <si>
    <t>Total cost of establishing and management of CSO over 2.5 years</t>
  </si>
  <si>
    <t>Establish a grafted CSO and managed to flowering (200 grafts)</t>
  </si>
  <si>
    <t>5th  Generation trial - breeding cycle 5</t>
  </si>
  <si>
    <t>Cost ratio: GS (FT-OX)  vs TB</t>
  </si>
  <si>
    <t>Cost of grafting for rootstock (non-trangenic)</t>
  </si>
  <si>
    <t>Cost of pre-caring for rootstock (non-trangenic)</t>
  </si>
  <si>
    <t>Cost of post care for grafts (non-trangenic)</t>
  </si>
  <si>
    <t>Total cost of producing 200 grafts (non-trangenic)</t>
  </si>
  <si>
    <t xml:space="preserve">Number of selection in the CSO (2 reps x 1 site) </t>
  </si>
  <si>
    <t xml:space="preserve">Number of seedling to blank across all trial sites (5%) </t>
  </si>
  <si>
    <t>Total cost of wood assessments at year 5</t>
  </si>
  <si>
    <t>1st GEN GS model A</t>
  </si>
  <si>
    <t>1st GEN grafts</t>
  </si>
  <si>
    <t xml:space="preserve">2nd GEN grafts </t>
  </si>
  <si>
    <t>3rd GEN grafts</t>
  </si>
  <si>
    <t xml:space="preserve">4th GEN - only nursery processed </t>
  </si>
  <si>
    <t>Number of seedlings to produce per family</t>
  </si>
  <si>
    <t>Number seedlings produced for GS model A prediction</t>
  </si>
  <si>
    <t>Total nursery sowing cost to produce seedlings for GS model A prediction</t>
  </si>
  <si>
    <t>GS model A prediction</t>
  </si>
  <si>
    <t>GS model A+B development</t>
  </si>
  <si>
    <t xml:space="preserve">Number of trangenic scion per GEBV rootstock. </t>
  </si>
  <si>
    <t>Number of selection in the potted orchard  (GM certified)</t>
  </si>
  <si>
    <t>Numbe of tree selection with GEBV cross-validation</t>
  </si>
  <si>
    <t xml:space="preserve">Total cost of establishing grafts in 200 grafts in Potted orchard (GM certified) </t>
  </si>
  <si>
    <t>Total cost of managing 200 grafts in potted orchard for 2.5 years untill harvesting of OP seed</t>
  </si>
  <si>
    <t xml:space="preserve">Number of roostock prepared to graft GEBV selected trees </t>
  </si>
  <si>
    <t xml:space="preserve">Potting and pre-grafting rootstock preparation </t>
  </si>
  <si>
    <t>Grafting of 100 selected selection on rootstock from tree climbed scion</t>
  </si>
  <si>
    <t xml:space="preserve">Post-care of GEBV selected grafts </t>
  </si>
  <si>
    <t xml:space="preserve">CLONAL SEED ORCHARD (CSO) ESTABLISHMENT (5TH GENERATION 100 SELECTIONS) </t>
  </si>
  <si>
    <t>NURSERY SOWING (5TH GENERATION - 100 FAMILIES FROM 4TH GENERATION CSO)</t>
  </si>
  <si>
    <t>GEBV PREDICTION  OF 5TH GENNERATION OP SEEDLINGS (GS MODEL A+B)</t>
  </si>
  <si>
    <t xml:space="preserve">NURSERY - ESTABLISH SIGNLE SEEDLING RCH  (5TH GENERATION 100 SELECTIONS) </t>
  </si>
  <si>
    <t>GRAFTING FROM (5TH GENERATION - 100 SELECTIONS)</t>
  </si>
  <si>
    <t xml:space="preserve">Genotyping (EucHIP60K.Br) - 3000 trees </t>
  </si>
  <si>
    <t xml:space="preserve">Phenotyping (Growth + WQ) - 3000 trees </t>
  </si>
  <si>
    <t>Nursery</t>
  </si>
  <si>
    <t xml:space="preserve">Field </t>
  </si>
  <si>
    <t>Grafting and transgrafting propagation</t>
  </si>
  <si>
    <t xml:space="preserve">Cost of FT-OX scion (Developed inhouse - not purchase and licencing fee) </t>
  </si>
  <si>
    <t xml:space="preserve">Tree climbing and production cost  for 1x macro-graft  from selected tree canopy </t>
  </si>
  <si>
    <t xml:space="preserve">Post-caring of transgrafts with FT-OX scion </t>
  </si>
  <si>
    <t xml:space="preserve">Post-caring of normal grafted selection </t>
  </si>
  <si>
    <t>Cuttings and seedling propagation</t>
  </si>
  <si>
    <t>Genotyping cost (Euc72K SNP chip)</t>
  </si>
  <si>
    <t>Potted orchard not GM certified</t>
  </si>
  <si>
    <t xml:space="preserve">Establishment cost per selection ramet </t>
  </si>
  <si>
    <t>Management cost and flower induction per ramet (per tree per year)</t>
  </si>
  <si>
    <t xml:space="preserve">Control cross production cost per control pollianted family </t>
  </si>
  <si>
    <t>Potted orchard that is GM certified</t>
  </si>
  <si>
    <r>
      <t xml:space="preserve">Establishment cost per selection ramet with </t>
    </r>
    <r>
      <rPr>
        <i/>
        <sz val="11"/>
        <color theme="1"/>
        <rFont val="Calibri"/>
        <family val="2"/>
        <scheme val="minor"/>
      </rPr>
      <t>FT</t>
    </r>
    <r>
      <rPr>
        <sz val="11"/>
        <color theme="1"/>
        <rFont val="Calibri"/>
        <family val="2"/>
        <scheme val="minor"/>
      </rPr>
      <t>-OX scion</t>
    </r>
  </si>
  <si>
    <t>Management cost and flower induction per transgraft ramet (per tree per year)</t>
  </si>
  <si>
    <t xml:space="preserve">Clonal seed orchard (CSO) in field </t>
  </si>
  <si>
    <t>CSO management costs to accelerate flowering (per year per tree)</t>
  </si>
  <si>
    <t xml:space="preserve">Trial establishment </t>
  </si>
  <si>
    <t xml:space="preserve">Production cost per cutting from coppicing stump </t>
  </si>
  <si>
    <t xml:space="preserve">Growth and WQ assesment </t>
  </si>
  <si>
    <t xml:space="preserve">Control cross production cost per control pollinated family </t>
  </si>
  <si>
    <t xml:space="preserve">Pre-caring of roostock intended for grafting  and transgrafts </t>
  </si>
  <si>
    <t>Traditional breeding strategy costs and duration</t>
  </si>
  <si>
    <t>USD</t>
  </si>
  <si>
    <t xml:space="preserve">Genotyping (Euc72K SNIP Chip) - 3000 trees </t>
  </si>
  <si>
    <r>
      <t xml:space="preserve">Total number of seedlings with GEBV, including top 100 </t>
    </r>
    <r>
      <rPr>
        <b/>
        <sz val="11"/>
        <color rgb="FF0000FF"/>
        <rFont val="Calibri"/>
        <family val="2"/>
        <scheme val="minor"/>
      </rPr>
      <t>(To be plant in a macro hedge)</t>
    </r>
  </si>
  <si>
    <t>Total cost of producing 500 grafts (non-trangenic)</t>
  </si>
  <si>
    <t>Number of selection in the CSO (2 reps x 1 site) other 3x grafts for blanking</t>
  </si>
  <si>
    <t xml:space="preserve">Number of seedlings to produce per family (45 for trial + 15 for blanking) </t>
  </si>
  <si>
    <t>Number seedlings produced for 3x trials (15 reps stp)</t>
  </si>
  <si>
    <t>1st GEN</t>
  </si>
  <si>
    <t>2nd GEN</t>
  </si>
  <si>
    <t xml:space="preserve">Number seedlings to per family  predict with GS models A </t>
  </si>
  <si>
    <r>
      <t xml:space="preserve">Establish cost and maitainance of maro hedge </t>
    </r>
    <r>
      <rPr>
        <b/>
        <sz val="11"/>
        <color rgb="FF0000FF"/>
        <rFont val="Calibri"/>
        <family val="2"/>
        <scheme val="minor"/>
      </rPr>
      <t>(To produce GS model B clonal trials)</t>
    </r>
  </si>
  <si>
    <t>Number of cuttings generated from the single seedling hedge</t>
  </si>
  <si>
    <t xml:space="preserve">Number seedlings produced </t>
  </si>
  <si>
    <t>Number seedlings to per family  predict with GS models A+B</t>
  </si>
  <si>
    <r>
      <t xml:space="preserve">Establish cost and maitainance of maro hedge </t>
    </r>
    <r>
      <rPr>
        <b/>
        <sz val="11"/>
        <color rgb="FF0000FF"/>
        <rFont val="Calibri"/>
        <family val="2"/>
        <scheme val="minor"/>
      </rPr>
      <t>(To produce GS model C clonal trials)</t>
    </r>
  </si>
  <si>
    <t>Number of 2nd Gen GEBV selections planted macro hedge for GS model B training</t>
  </si>
  <si>
    <t xml:space="preserve">Production cost (macro hedges) </t>
  </si>
  <si>
    <t xml:space="preserve">Number cuttigns produced for  the GS model B training trial </t>
  </si>
  <si>
    <t>Total nursery cost to produce cuttings for 3x clonal trials for GS model B training</t>
  </si>
  <si>
    <t>Total cost of establishing 200 cuttings into clonal seed orchard (CSO)</t>
  </si>
  <si>
    <t>Total cost of managing 200 cuttings in a CSO for 5 years untill harvesting of OP seed</t>
  </si>
  <si>
    <t xml:space="preserve">Number of seedling to blank at 1 month across all trial sites (5%) </t>
  </si>
  <si>
    <t>Number of cutting per clones (9 ramets + 6 blanks = 15 trees per clones )  for 3x trials (3 reps of 3 line plots trial config)</t>
  </si>
  <si>
    <t xml:space="preserve">Number of seedlings selected from the 300 families (15/family across at 5 per family at the 3 sites) </t>
  </si>
  <si>
    <t>Number of trangenic scion per GEBV graft</t>
  </si>
  <si>
    <t xml:space="preserve">Total cost of grafting 100 GEBV selection onto 500 rootstock (5 grafts per selection) </t>
  </si>
  <si>
    <t>Total cost making available 1000 FT-OX scion (In house produced and developed)</t>
  </si>
  <si>
    <t>Total cost of grafting of 1000 trangenic scion</t>
  </si>
  <si>
    <t xml:space="preserve">Production cost for 1x micro-graft from selected canopy  or FT-OX source </t>
  </si>
  <si>
    <t>Total cost of post care of transgraft with (scion FT-OX) in GM certifid facility</t>
  </si>
  <si>
    <t xml:space="preserve">Total cost of producing 500 transgrafts </t>
  </si>
  <si>
    <t xml:space="preserve">Total cost of establishing grafts in 500 grafts in Potted orchard (GM certified) </t>
  </si>
  <si>
    <t>Total cost of managing 500 grafts in potted orchard for 2.5 years untill harvesting of OP seed</t>
  </si>
  <si>
    <t>Number of 2nd Gen  top 100 GEBV selected individuals</t>
  </si>
  <si>
    <t xml:space="preserve">Numbe of tree selection with GEBV cross-validation </t>
  </si>
  <si>
    <t>Number of GEBV selected trees as rootstock prodcued (5x per 100 GEBV selections)</t>
  </si>
  <si>
    <t xml:space="preserve">Total cost of micro-grafting of 1000 trangenic scion </t>
  </si>
  <si>
    <t xml:space="preserve">Nursery - cuttings of 2000 CP clones </t>
  </si>
  <si>
    <t>3rd GEN</t>
  </si>
  <si>
    <t>4th GEN</t>
  </si>
  <si>
    <t>5th GEN</t>
  </si>
  <si>
    <t xml:space="preserve">100 forward selections from 300 families </t>
  </si>
  <si>
    <t>2nd  Genration progeny trial - breeding cycle 2</t>
  </si>
  <si>
    <t>Nursery - Sowing of 100 OP families</t>
  </si>
  <si>
    <t>Trial establishment - 3 site 15 reps single tree plot</t>
  </si>
  <si>
    <t xml:space="preserve">Normal grafting of 2nd Gen 100 selections </t>
  </si>
  <si>
    <t xml:space="preserve">Establish a CSO of 200 (100 x 2 ramets) for flowering </t>
  </si>
  <si>
    <t>3rd Generation progeny trial - breeding cycle 3</t>
  </si>
  <si>
    <t xml:space="preserve">1st Generation progeny trial - GS model A training </t>
  </si>
  <si>
    <t>Establish and maitainance of 2000 GEBV seedlings into macro hedges</t>
  </si>
  <si>
    <t>Establish a cuttings CSO and managed to flowering (200 trees)</t>
  </si>
  <si>
    <t xml:space="preserve">Nursery - cuttings of 2000 OP clones </t>
  </si>
  <si>
    <t xml:space="preserve">GS Model A+B training -  clonal trial </t>
  </si>
  <si>
    <t>GS model A+B - prediction (20 seedlings per families)</t>
  </si>
  <si>
    <t>1st Generation progeny trial - GS model A training</t>
  </si>
  <si>
    <t>Collection of scion and graft 100 selections and then trasgraft FT-OX scion</t>
  </si>
  <si>
    <t>Establish a transgraft CSO and managed to flowering (500 transgraft)</t>
  </si>
  <si>
    <t>Establish 2000 of the GEBV predited seedling into macro hedge (GS model A+B)</t>
  </si>
  <si>
    <t>Establish and maitainance of 2000 GEBV seedlings into macro hedges (GS model A+B+C)</t>
  </si>
  <si>
    <t>Make 5 ramets each from top 100 GEBV selections from macro hedge</t>
  </si>
  <si>
    <t xml:space="preserve">Potting and pre-grafting preparation of GEBV selected 500 cutting rootstock (top 100 GEBV selections) </t>
  </si>
  <si>
    <t>Micro-grafting of 500 GEBV cuttings (100x5 ramets) in pots the graft  2x FT-OX scion on each</t>
  </si>
  <si>
    <t>Establish a grafted CSO and managed to flowering (500 transgraft)</t>
  </si>
  <si>
    <t>2nd Generation seedlings - breeding cycle 2</t>
  </si>
  <si>
    <t>3rd  Generation seedlings - breeding cycle 3</t>
  </si>
  <si>
    <t>4th  Generation seedlings - breeding cycle 4</t>
  </si>
  <si>
    <t>Establish 2000 of the GEBV predited seedling into macro hedge (GS model A+B+C)</t>
  </si>
  <si>
    <t>Macro hedge establishement cost of GEBV predicted seedlings but not selected</t>
  </si>
  <si>
    <t>PROGENY TRIALS 300 FAMILIES (1ST GENERATION)</t>
  </si>
  <si>
    <t xml:space="preserve">1st GEN   </t>
  </si>
  <si>
    <t xml:space="preserve">Total cost for phenotyping and BLUP analysis </t>
  </si>
  <si>
    <t xml:space="preserve">Total number of CP families produced </t>
  </si>
  <si>
    <t xml:space="preserve">CP production cost per family </t>
  </si>
  <si>
    <t xml:space="preserve">Total CP per family production cost </t>
  </si>
  <si>
    <t>Number of control pollinated (CP)  families from orchard</t>
  </si>
  <si>
    <t>Total cost of managing 500 grafts in potted orchard for 2.5 years untill harvesting of CP seed</t>
  </si>
  <si>
    <t xml:space="preserve">Genotyping cost reduction </t>
  </si>
  <si>
    <t>E. dunnii</t>
  </si>
  <si>
    <t>Traditional breeding strategy  (TB)</t>
  </si>
  <si>
    <t>Genomic selection breeding strategy  (GS)</t>
  </si>
  <si>
    <t xml:space="preserve">Operational expenses </t>
  </si>
  <si>
    <t xml:space="preserve">Genotyping expenses </t>
  </si>
  <si>
    <t>Genomic selection with FT-OX scion transgrafting  (GS-FT)</t>
  </si>
  <si>
    <r>
      <t xml:space="preserve">Cost ratio: </t>
    </r>
    <r>
      <rPr>
        <b/>
        <sz val="11"/>
        <color theme="1"/>
        <rFont val="Times New Roman"/>
        <family val="1"/>
      </rPr>
      <t xml:space="preserve">GS vs TB </t>
    </r>
  </si>
  <si>
    <r>
      <t xml:space="preserve">Cost ratio: </t>
    </r>
    <r>
      <rPr>
        <b/>
        <sz val="11"/>
        <color theme="1"/>
        <rFont val="Times New Roman"/>
        <family val="1"/>
      </rPr>
      <t>GS-FT vs TB</t>
    </r>
  </si>
  <si>
    <r>
      <t xml:space="preserve">Cost ratio: </t>
    </r>
    <r>
      <rPr>
        <b/>
        <sz val="11"/>
        <color theme="1"/>
        <rFont val="Times New Roman"/>
        <family val="1"/>
      </rPr>
      <t>GS-FT vs GS</t>
    </r>
  </si>
  <si>
    <t xml:space="preserve">E. dunnii traditional breeding strategy  </t>
  </si>
  <si>
    <t xml:space="preserve">E. dunniiGenomic selection breeding strategy  </t>
  </si>
  <si>
    <t xml:space="preserve">E. dunniiGenomic selection (FT-OX) breeding strategy  </t>
  </si>
  <si>
    <t>Genotyping cost at 100%</t>
  </si>
  <si>
    <t>Genotyping cost at 75%</t>
  </si>
  <si>
    <t>Genotyping cost at 50%</t>
  </si>
  <si>
    <t>Genotyping cost at 25%</t>
  </si>
  <si>
    <t>Genotyping cost (Euc60K SNP chip)</t>
  </si>
  <si>
    <t xml:space="preserve">Field operations </t>
  </si>
  <si>
    <t xml:space="preserve">Nursery operations </t>
  </si>
  <si>
    <t xml:space="preserve">Simulated costing units per tree </t>
  </si>
  <si>
    <t xml:space="preserve">Grafting and transgrafting </t>
  </si>
  <si>
    <t xml:space="preserve">Grafting </t>
  </si>
  <si>
    <t xml:space="preserve">Potted orchard - GM certified + CP </t>
  </si>
  <si>
    <t>Potted orchard - not GM certified + CP</t>
  </si>
  <si>
    <t>Cuttings and seedling production</t>
  </si>
  <si>
    <t>Clonal seed orchard establishment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</si>
</sst>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&quot;R&quot;\ #,##0;[Red]&quot;R&quot;\ \-#,##0"/>
    <numFmt numFmtId="165" formatCode="&quot;R&quot;\ #,##0.00;[Red]&quot;R&quot;\ \-#,##0.00"/>
    <numFmt numFmtId="166" formatCode="_ &quot;R&quot;\ * #,##0.00_ ;_ &quot;R&quot;\ * \-#,##0.00_ ;_ &quot;R&quot;\ * &quot;-&quot;??_ ;_ @_ "/>
    <numFmt numFmtId="167" formatCode="0.0"/>
    <numFmt numFmtId="168" formatCode="&quot;R&quot;\ #,##0.00"/>
    <numFmt numFmtId="169" formatCode="_-[$$-409]* #,##0.00_ ;_-[$$-409]* \-#,##0.00\ ;_-[$$-409]* &quot;-&quot;??_ ;_-@_ "/>
    <numFmt numFmtId="170" formatCode="[$$-409]#,##0.00"/>
    <numFmt numFmtId="171" formatCode="[$$-540A]#,##0.00_ ;[Red]\-[$$-540A]#,##0.00\ "/>
    <numFmt numFmtId="172" formatCode="[$$-409]#,##0.00_ ;[Red]\-[$$-409]#,##0.00\ "/>
    <numFmt numFmtId="173" formatCode="[$$-540A]#,##0.00"/>
    <numFmt numFmtId="174" formatCode="0.000"/>
    <numFmt numFmtId="180" formatCode="_-&quot;R&quot;* #,##0_-;\-&quot;R&quot;* #,##0_-;_-&quot;R&quot;* &quot;-&quot;??_-;_-@_-"/>
  </numFmts>
  <fonts count="2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rgb="FF0000FF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11"/>
      <name val="Times New Roman"/>
      <family val="1"/>
    </font>
    <font>
      <i/>
      <sz val="11"/>
      <name val="Times New Roman"/>
      <family val="1"/>
    </font>
    <font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E958A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262">
    <xf numFmtId="0" fontId="0" fillId="0" borderId="0" xfId="0"/>
    <xf numFmtId="0" fontId="1" fillId="0" borderId="0" xfId="0" applyFont="1" applyFill="1"/>
    <xf numFmtId="167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/>
    <xf numFmtId="167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/>
    <xf numFmtId="0" fontId="5" fillId="0" borderId="0" xfId="0" applyFont="1" applyFill="1" applyBorder="1"/>
    <xf numFmtId="0" fontId="5" fillId="0" borderId="0" xfId="0" applyFont="1" applyFill="1" applyAlignment="1">
      <alignment horizontal="right"/>
    </xf>
    <xf numFmtId="0" fontId="5" fillId="0" borderId="0" xfId="0" applyFont="1" applyFill="1" applyBorder="1" applyAlignment="1">
      <alignment horizontal="right"/>
    </xf>
    <xf numFmtId="0" fontId="0" fillId="0" borderId="0" xfId="0" applyFont="1" applyAlignment="1">
      <alignment horizontal="center"/>
    </xf>
    <xf numFmtId="0" fontId="4" fillId="0" borderId="0" xfId="0" applyFont="1"/>
    <xf numFmtId="165" fontId="1" fillId="0" borderId="0" xfId="0" applyNumberFormat="1" applyFont="1" applyFill="1" applyBorder="1"/>
    <xf numFmtId="164" fontId="1" fillId="0" borderId="0" xfId="0" applyNumberFormat="1" applyFont="1" applyFill="1" applyBorder="1"/>
    <xf numFmtId="167" fontId="4" fillId="0" borderId="0" xfId="0" applyNumberFormat="1" applyFont="1" applyAlignment="1">
      <alignment horizontal="center" vertical="center"/>
    </xf>
    <xf numFmtId="167" fontId="0" fillId="0" borderId="0" xfId="0" applyNumberFormat="1" applyFont="1"/>
    <xf numFmtId="0" fontId="4" fillId="8" borderId="0" xfId="0" applyFont="1" applyFill="1"/>
    <xf numFmtId="0" fontId="1" fillId="11" borderId="1" xfId="0" applyFont="1" applyFill="1" applyBorder="1"/>
    <xf numFmtId="0" fontId="1" fillId="11" borderId="2" xfId="0" applyFont="1" applyFill="1" applyBorder="1"/>
    <xf numFmtId="0" fontId="0" fillId="11" borderId="4" xfId="0" applyFont="1" applyFill="1" applyBorder="1"/>
    <xf numFmtId="0" fontId="4" fillId="11" borderId="4" xfId="0" applyFont="1" applyFill="1" applyBorder="1"/>
    <xf numFmtId="0" fontId="4" fillId="11" borderId="6" xfId="0" applyFont="1" applyFill="1" applyBorder="1"/>
    <xf numFmtId="0" fontId="5" fillId="4" borderId="0" xfId="0" applyFont="1" applyFill="1"/>
    <xf numFmtId="0" fontId="1" fillId="7" borderId="1" xfId="0" applyFont="1" applyFill="1" applyBorder="1"/>
    <xf numFmtId="0" fontId="1" fillId="7" borderId="4" xfId="0" applyFont="1" applyFill="1" applyBorder="1"/>
    <xf numFmtId="0" fontId="1" fillId="7" borderId="0" xfId="0" applyFont="1" applyFill="1" applyBorder="1"/>
    <xf numFmtId="0" fontId="5" fillId="7" borderId="6" xfId="0" applyFont="1" applyFill="1" applyBorder="1"/>
    <xf numFmtId="167" fontId="4" fillId="0" borderId="0" xfId="0" applyNumberFormat="1" applyFont="1"/>
    <xf numFmtId="0" fontId="1" fillId="10" borderId="1" xfId="0" applyFont="1" applyFill="1" applyBorder="1"/>
    <xf numFmtId="0" fontId="1" fillId="10" borderId="4" xfId="0" applyFont="1" applyFill="1" applyBorder="1"/>
    <xf numFmtId="0" fontId="1" fillId="10" borderId="0" xfId="0" applyFont="1" applyFill="1" applyBorder="1"/>
    <xf numFmtId="0" fontId="5" fillId="10" borderId="6" xfId="0" applyFont="1" applyFill="1" applyBorder="1"/>
    <xf numFmtId="0" fontId="5" fillId="5" borderId="0" xfId="0" applyFont="1" applyFill="1"/>
    <xf numFmtId="0" fontId="1" fillId="9" borderId="1" xfId="0" applyFont="1" applyFill="1" applyBorder="1"/>
    <xf numFmtId="0" fontId="1" fillId="9" borderId="4" xfId="0" applyFont="1" applyFill="1" applyBorder="1"/>
    <xf numFmtId="0" fontId="5" fillId="9" borderId="6" xfId="0" applyFont="1" applyFill="1" applyBorder="1"/>
    <xf numFmtId="0" fontId="7" fillId="3" borderId="0" xfId="0" applyFont="1" applyFill="1"/>
    <xf numFmtId="167" fontId="6" fillId="0" borderId="0" xfId="0" applyNumberFormat="1" applyFont="1" applyAlignment="1">
      <alignment horizontal="center" vertical="center"/>
    </xf>
    <xf numFmtId="167" fontId="0" fillId="0" borderId="0" xfId="0" applyNumberFormat="1" applyFont="1" applyAlignment="1">
      <alignment vertical="center"/>
    </xf>
    <xf numFmtId="167" fontId="8" fillId="2" borderId="0" xfId="0" applyNumberFormat="1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Fill="1" applyBorder="1"/>
    <xf numFmtId="167" fontId="0" fillId="0" borderId="0" xfId="0" applyNumberFormat="1" applyFont="1" applyFill="1" applyBorder="1"/>
    <xf numFmtId="0" fontId="9" fillId="8" borderId="0" xfId="0" applyFont="1" applyFill="1" applyBorder="1"/>
    <xf numFmtId="0" fontId="0" fillId="0" borderId="0" xfId="0" applyFont="1" applyBorder="1"/>
    <xf numFmtId="167" fontId="0" fillId="0" borderId="0" xfId="0" applyNumberFormat="1" applyFont="1" applyBorder="1"/>
    <xf numFmtId="0" fontId="2" fillId="6" borderId="0" xfId="0" applyFont="1" applyFill="1" applyBorder="1"/>
    <xf numFmtId="0" fontId="10" fillId="6" borderId="0" xfId="0" applyFont="1" applyFill="1" applyBorder="1"/>
    <xf numFmtId="1" fontId="1" fillId="10" borderId="2" xfId="0" applyNumberFormat="1" applyFont="1" applyFill="1" applyBorder="1"/>
    <xf numFmtId="0" fontId="1" fillId="11" borderId="4" xfId="0" applyFont="1" applyFill="1" applyBorder="1"/>
    <xf numFmtId="164" fontId="5" fillId="0" borderId="0" xfId="0" applyNumberFormat="1" applyFont="1" applyFill="1" applyBorder="1"/>
    <xf numFmtId="164" fontId="7" fillId="0" borderId="0" xfId="0" applyNumberFormat="1" applyFont="1" applyFill="1" applyBorder="1"/>
    <xf numFmtId="167" fontId="6" fillId="0" borderId="0" xfId="0" applyNumberFormat="1" applyFont="1" applyFill="1" applyBorder="1" applyAlignment="1">
      <alignment horizontal="center" vertical="center"/>
    </xf>
    <xf numFmtId="167" fontId="11" fillId="2" borderId="0" xfId="0" applyNumberFormat="1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167" fontId="12" fillId="0" borderId="0" xfId="0" applyNumberFormat="1" applyFont="1" applyAlignment="1">
      <alignment vertical="center"/>
    </xf>
    <xf numFmtId="0" fontId="12" fillId="0" borderId="0" xfId="0" applyFont="1"/>
    <xf numFmtId="0" fontId="12" fillId="0" borderId="0" xfId="0" applyFont="1" applyFill="1" applyBorder="1"/>
    <xf numFmtId="167" fontId="12" fillId="0" borderId="0" xfId="0" applyNumberFormat="1" applyFont="1" applyFill="1" applyBorder="1"/>
    <xf numFmtId="0" fontId="1" fillId="0" borderId="0" xfId="0" applyFont="1" applyAlignment="1">
      <alignment horizontal="right"/>
    </xf>
    <xf numFmtId="0" fontId="5" fillId="9" borderId="4" xfId="0" applyFont="1" applyFill="1" applyBorder="1"/>
    <xf numFmtId="0" fontId="13" fillId="0" borderId="0" xfId="0" applyFont="1" applyFill="1" applyBorder="1"/>
    <xf numFmtId="0" fontId="5" fillId="12" borderId="9" xfId="0" applyFont="1" applyFill="1" applyBorder="1"/>
    <xf numFmtId="0" fontId="14" fillId="0" borderId="0" xfId="0" applyFont="1"/>
    <xf numFmtId="167" fontId="1" fillId="0" borderId="0" xfId="0" applyNumberFormat="1" applyFont="1" applyAlignment="1">
      <alignment horizontal="right"/>
    </xf>
    <xf numFmtId="0" fontId="1" fillId="0" borderId="0" xfId="0" applyFont="1" applyFill="1" applyBorder="1" applyAlignment="1">
      <alignment horizontal="right"/>
    </xf>
    <xf numFmtId="167" fontId="5" fillId="0" borderId="0" xfId="0" applyNumberFormat="1" applyFont="1" applyFill="1" applyBorder="1" applyAlignment="1">
      <alignment horizontal="right" vertical="center"/>
    </xf>
    <xf numFmtId="167" fontId="1" fillId="0" borderId="0" xfId="0" applyNumberFormat="1" applyFont="1" applyBorder="1" applyAlignment="1">
      <alignment horizontal="right"/>
    </xf>
    <xf numFmtId="0" fontId="15" fillId="0" borderId="0" xfId="0" applyFont="1"/>
    <xf numFmtId="0" fontId="15" fillId="0" borderId="0" xfId="0" applyFont="1" applyAlignment="1">
      <alignment horizontal="right"/>
    </xf>
    <xf numFmtId="0" fontId="0" fillId="0" borderId="0" xfId="0" applyBorder="1"/>
    <xf numFmtId="167" fontId="16" fillId="14" borderId="0" xfId="0" applyNumberFormat="1" applyFont="1" applyFill="1" applyAlignment="1">
      <alignment horizontal="left" vertical="center"/>
    </xf>
    <xf numFmtId="168" fontId="16" fillId="14" borderId="0" xfId="0" applyNumberFormat="1" applyFont="1" applyFill="1" applyAlignment="1">
      <alignment horizontal="center" vertical="center"/>
    </xf>
    <xf numFmtId="167" fontId="16" fillId="14" borderId="0" xfId="0" applyNumberFormat="1" applyFont="1" applyFill="1" applyAlignment="1">
      <alignment horizontal="center" vertical="center"/>
    </xf>
    <xf numFmtId="166" fontId="0" fillId="0" borderId="0" xfId="0" applyNumberFormat="1" applyBorder="1"/>
    <xf numFmtId="169" fontId="0" fillId="0" borderId="0" xfId="0" applyNumberFormat="1" applyBorder="1"/>
    <xf numFmtId="170" fontId="5" fillId="7" borderId="7" xfId="0" applyNumberFormat="1" applyFont="1" applyFill="1" applyBorder="1"/>
    <xf numFmtId="170" fontId="1" fillId="7" borderId="2" xfId="0" applyNumberFormat="1" applyFont="1" applyFill="1" applyBorder="1"/>
    <xf numFmtId="170" fontId="5" fillId="9" borderId="0" xfId="0" applyNumberFormat="1" applyFont="1" applyFill="1" applyBorder="1"/>
    <xf numFmtId="170" fontId="5" fillId="9" borderId="7" xfId="0" applyNumberFormat="1" applyFont="1" applyFill="1" applyBorder="1"/>
    <xf numFmtId="170" fontId="1" fillId="9" borderId="2" xfId="0" applyNumberFormat="1" applyFont="1" applyFill="1" applyBorder="1"/>
    <xf numFmtId="170" fontId="1" fillId="9" borderId="0" xfId="0" applyNumberFormat="1" applyFont="1" applyFill="1" applyBorder="1"/>
    <xf numFmtId="170" fontId="7" fillId="3" borderId="0" xfId="0" applyNumberFormat="1" applyFont="1" applyFill="1"/>
    <xf numFmtId="170" fontId="0" fillId="0" borderId="0" xfId="0" applyNumberFormat="1" applyFont="1"/>
    <xf numFmtId="172" fontId="7" fillId="11" borderId="0" xfId="0" applyNumberFormat="1" applyFont="1" applyFill="1" applyBorder="1"/>
    <xf numFmtId="172" fontId="4" fillId="11" borderId="0" xfId="0" applyNumberFormat="1" applyFont="1" applyFill="1" applyBorder="1"/>
    <xf numFmtId="172" fontId="1" fillId="7" borderId="2" xfId="0" applyNumberFormat="1" applyFont="1" applyFill="1" applyBorder="1"/>
    <xf numFmtId="172" fontId="5" fillId="7" borderId="7" xfId="0" applyNumberFormat="1" applyFont="1" applyFill="1" applyBorder="1"/>
    <xf numFmtId="171" fontId="1" fillId="10" borderId="0" xfId="0" applyNumberFormat="1" applyFont="1" applyFill="1" applyBorder="1"/>
    <xf numFmtId="171" fontId="5" fillId="10" borderId="7" xfId="0" applyNumberFormat="1" applyFont="1" applyFill="1" applyBorder="1"/>
    <xf numFmtId="173" fontId="1" fillId="11" borderId="0" xfId="0" applyNumberFormat="1" applyFont="1" applyFill="1" applyBorder="1"/>
    <xf numFmtId="171" fontId="11" fillId="3" borderId="0" xfId="0" applyNumberFormat="1" applyFont="1" applyFill="1" applyAlignment="1">
      <alignment vertical="center"/>
    </xf>
    <xf numFmtId="172" fontId="1" fillId="0" borderId="0" xfId="0" applyNumberFormat="1" applyFont="1"/>
    <xf numFmtId="172" fontId="1" fillId="0" borderId="0" xfId="0" applyNumberFormat="1" applyFont="1" applyFill="1"/>
    <xf numFmtId="170" fontId="1" fillId="0" borderId="0" xfId="0" applyNumberFormat="1" applyFont="1" applyFill="1" applyBorder="1"/>
    <xf numFmtId="170" fontId="1" fillId="0" borderId="0" xfId="0" applyNumberFormat="1" applyFont="1"/>
    <xf numFmtId="170" fontId="5" fillId="0" borderId="0" xfId="0" applyNumberFormat="1" applyFont="1" applyFill="1" applyAlignment="1">
      <alignment horizontal="right"/>
    </xf>
    <xf numFmtId="170" fontId="5" fillId="0" borderId="0" xfId="0" applyNumberFormat="1" applyFont="1" applyFill="1" applyBorder="1" applyAlignment="1">
      <alignment horizontal="right"/>
    </xf>
    <xf numFmtId="170" fontId="1" fillId="0" borderId="0" xfId="0" applyNumberFormat="1" applyFont="1" applyAlignment="1">
      <alignment horizontal="right"/>
    </xf>
    <xf numFmtId="167" fontId="7" fillId="0" borderId="0" xfId="0" applyNumberFormat="1" applyFont="1" applyAlignment="1">
      <alignment vertical="center"/>
    </xf>
    <xf numFmtId="166" fontId="1" fillId="0" borderId="0" xfId="0" applyNumberFormat="1" applyFont="1" applyBorder="1"/>
    <xf numFmtId="0" fontId="0" fillId="0" borderId="0" xfId="0" applyAlignment="1">
      <alignment horizontal="left" vertical="center"/>
    </xf>
    <xf numFmtId="0" fontId="17" fillId="0" borderId="11" xfId="0" applyFont="1" applyBorder="1" applyAlignment="1">
      <alignment horizontal="justify" vertical="center"/>
    </xf>
    <xf numFmtId="0" fontId="0" fillId="0" borderId="11" xfId="0" applyFont="1" applyBorder="1" applyAlignment="1">
      <alignment horizontal="left" vertical="center" wrapText="1"/>
    </xf>
    <xf numFmtId="0" fontId="0" fillId="0" borderId="0" xfId="0" applyFill="1" applyBorder="1"/>
    <xf numFmtId="167" fontId="7" fillId="7" borderId="8" xfId="0" applyNumberFormat="1" applyFont="1" applyFill="1" applyBorder="1" applyAlignment="1">
      <alignment horizontal="center" vertical="center"/>
    </xf>
    <xf numFmtId="167" fontId="7" fillId="7" borderId="7" xfId="0" applyNumberFormat="1" applyFont="1" applyFill="1" applyBorder="1" applyAlignment="1">
      <alignment horizontal="center" vertical="center"/>
    </xf>
    <xf numFmtId="0" fontId="1" fillId="7" borderId="2" xfId="0" applyFont="1" applyFill="1" applyBorder="1"/>
    <xf numFmtId="172" fontId="7" fillId="7" borderId="0" xfId="0" applyNumberFormat="1" applyFont="1" applyFill="1" applyBorder="1"/>
    <xf numFmtId="172" fontId="4" fillId="7" borderId="0" xfId="0" applyNumberFormat="1" applyFont="1" applyFill="1" applyBorder="1"/>
    <xf numFmtId="171" fontId="1" fillId="7" borderId="0" xfId="0" applyNumberFormat="1" applyFont="1" applyFill="1" applyBorder="1"/>
    <xf numFmtId="0" fontId="7" fillId="3" borderId="12" xfId="0" applyFont="1" applyFill="1" applyBorder="1"/>
    <xf numFmtId="172" fontId="7" fillId="3" borderId="13" xfId="0" applyNumberFormat="1" applyFont="1" applyFill="1" applyBorder="1"/>
    <xf numFmtId="0" fontId="6" fillId="7" borderId="0" xfId="0" applyFont="1" applyFill="1" applyBorder="1"/>
    <xf numFmtId="0" fontId="5" fillId="7" borderId="4" xfId="0" applyFont="1" applyFill="1" applyBorder="1"/>
    <xf numFmtId="170" fontId="8" fillId="2" borderId="0" xfId="0" applyNumberFormat="1" applyFont="1" applyFill="1" applyAlignment="1">
      <alignment horizontal="right" vertical="center"/>
    </xf>
    <xf numFmtId="0" fontId="4" fillId="12" borderId="0" xfId="0" applyFont="1" applyFill="1" applyBorder="1"/>
    <xf numFmtId="0" fontId="4" fillId="17" borderId="0" xfId="0" applyFont="1" applyFill="1" applyBorder="1"/>
    <xf numFmtId="169" fontId="1" fillId="0" borderId="0" xfId="0" applyNumberFormat="1" applyFont="1" applyBorder="1"/>
    <xf numFmtId="15" fontId="0" fillId="0" borderId="0" xfId="0" applyNumberFormat="1" applyBorder="1"/>
    <xf numFmtId="0" fontId="5" fillId="15" borderId="0" xfId="0" applyFont="1" applyFill="1"/>
    <xf numFmtId="0" fontId="1" fillId="18" borderId="1" xfId="0" applyFont="1" applyFill="1" applyBorder="1"/>
    <xf numFmtId="0" fontId="1" fillId="18" borderId="2" xfId="0" applyFont="1" applyFill="1" applyBorder="1"/>
    <xf numFmtId="0" fontId="1" fillId="18" borderId="4" xfId="0" applyFont="1" applyFill="1" applyBorder="1"/>
    <xf numFmtId="0" fontId="1" fillId="18" borderId="0" xfId="0" applyFont="1" applyFill="1" applyBorder="1"/>
    <xf numFmtId="170" fontId="1" fillId="18" borderId="0" xfId="0" applyNumberFormat="1" applyFont="1" applyFill="1" applyBorder="1"/>
    <xf numFmtId="0" fontId="5" fillId="18" borderId="4" xfId="0" applyFont="1" applyFill="1" applyBorder="1"/>
    <xf numFmtId="170" fontId="5" fillId="18" borderId="0" xfId="0" applyNumberFormat="1" applyFont="1" applyFill="1" applyBorder="1"/>
    <xf numFmtId="0" fontId="5" fillId="18" borderId="6" xfId="0" applyFont="1" applyFill="1" applyBorder="1"/>
    <xf numFmtId="170" fontId="5" fillId="18" borderId="7" xfId="0" applyNumberFormat="1" applyFont="1" applyFill="1" applyBorder="1"/>
    <xf numFmtId="0" fontId="1" fillId="2" borderId="1" xfId="0" applyFont="1" applyFill="1" applyBorder="1"/>
    <xf numFmtId="0" fontId="1" fillId="2" borderId="2" xfId="0" applyFont="1" applyFill="1" applyBorder="1"/>
    <xf numFmtId="0" fontId="5" fillId="2" borderId="6" xfId="0" applyFont="1" applyFill="1" applyBorder="1"/>
    <xf numFmtId="170" fontId="5" fillId="2" borderId="7" xfId="0" applyNumberFormat="1" applyFont="1" applyFill="1" applyBorder="1"/>
    <xf numFmtId="0" fontId="5" fillId="16" borderId="0" xfId="0" applyFont="1" applyFill="1"/>
    <xf numFmtId="170" fontId="5" fillId="2" borderId="0" xfId="0" applyNumberFormat="1" applyFont="1" applyFill="1" applyBorder="1"/>
    <xf numFmtId="0" fontId="7" fillId="3" borderId="6" xfId="0" applyFont="1" applyFill="1" applyBorder="1"/>
    <xf numFmtId="172" fontId="7" fillId="3" borderId="8" xfId="0" applyNumberFormat="1" applyFont="1" applyFill="1" applyBorder="1"/>
    <xf numFmtId="172" fontId="4" fillId="11" borderId="7" xfId="0" applyNumberFormat="1" applyFont="1" applyFill="1" applyBorder="1"/>
    <xf numFmtId="170" fontId="5" fillId="7" borderId="0" xfId="0" applyNumberFormat="1" applyFont="1" applyFill="1" applyBorder="1"/>
    <xf numFmtId="0" fontId="5" fillId="2" borderId="4" xfId="0" applyFont="1" applyFill="1" applyBorder="1"/>
    <xf numFmtId="167" fontId="1" fillId="0" borderId="0" xfId="0" applyNumberFormat="1" applyFont="1" applyFill="1" applyBorder="1"/>
    <xf numFmtId="170" fontId="5" fillId="19" borderId="10" xfId="0" applyNumberFormat="1" applyFont="1" applyFill="1" applyBorder="1"/>
    <xf numFmtId="167" fontId="5" fillId="19" borderId="10" xfId="0" applyNumberFormat="1" applyFont="1" applyFill="1" applyBorder="1"/>
    <xf numFmtId="167" fontId="1" fillId="0" borderId="0" xfId="0" applyNumberFormat="1" applyFont="1"/>
    <xf numFmtId="170" fontId="7" fillId="12" borderId="10" xfId="0" applyNumberFormat="1" applyFont="1" applyFill="1" applyBorder="1" applyAlignment="1">
      <alignment horizontal="right"/>
    </xf>
    <xf numFmtId="167" fontId="7" fillId="12" borderId="10" xfId="0" applyNumberFormat="1" applyFont="1" applyFill="1" applyBorder="1" applyAlignment="1">
      <alignment horizontal="right"/>
    </xf>
    <xf numFmtId="167" fontId="7" fillId="12" borderId="9" xfId="0" applyNumberFormat="1" applyFont="1" applyFill="1" applyBorder="1" applyAlignment="1">
      <alignment horizontal="right"/>
    </xf>
    <xf numFmtId="166" fontId="3" fillId="0" borderId="0" xfId="0" applyNumberFormat="1" applyFont="1" applyBorder="1"/>
    <xf numFmtId="174" fontId="0" fillId="0" borderId="0" xfId="0" applyNumberFormat="1" applyBorder="1"/>
    <xf numFmtId="0" fontId="4" fillId="5" borderId="0" xfId="0" applyFont="1" applyFill="1"/>
    <xf numFmtId="0" fontId="1" fillId="9" borderId="2" xfId="0" applyFont="1" applyFill="1" applyBorder="1"/>
    <xf numFmtId="0" fontId="1" fillId="9" borderId="0" xfId="0" applyFont="1" applyFill="1" applyBorder="1"/>
    <xf numFmtId="172" fontId="1" fillId="9" borderId="0" xfId="0" applyNumberFormat="1" applyFont="1" applyFill="1" applyBorder="1"/>
    <xf numFmtId="172" fontId="5" fillId="9" borderId="0" xfId="0" applyNumberFormat="1" applyFont="1" applyFill="1" applyBorder="1"/>
    <xf numFmtId="172" fontId="5" fillId="9" borderId="7" xfId="0" applyNumberFormat="1" applyFont="1" applyFill="1" applyBorder="1"/>
    <xf numFmtId="173" fontId="1" fillId="9" borderId="2" xfId="0" applyNumberFormat="1" applyFont="1" applyFill="1" applyBorder="1"/>
    <xf numFmtId="173" fontId="1" fillId="9" borderId="0" xfId="0" applyNumberFormat="1" applyFont="1" applyFill="1" applyBorder="1"/>
    <xf numFmtId="173" fontId="5" fillId="9" borderId="0" xfId="0" applyNumberFormat="1" applyFont="1" applyFill="1" applyBorder="1"/>
    <xf numFmtId="173" fontId="5" fillId="9" borderId="7" xfId="0" applyNumberFormat="1" applyFont="1" applyFill="1" applyBorder="1"/>
    <xf numFmtId="0" fontId="1" fillId="9" borderId="6" xfId="0" applyFont="1" applyFill="1" applyBorder="1"/>
    <xf numFmtId="173" fontId="1" fillId="9" borderId="7" xfId="0" applyNumberFormat="1" applyFont="1" applyFill="1" applyBorder="1"/>
    <xf numFmtId="173" fontId="5" fillId="7" borderId="0" xfId="0" applyNumberFormat="1" applyFont="1" applyFill="1" applyBorder="1"/>
    <xf numFmtId="0" fontId="4" fillId="3" borderId="0" xfId="0" applyFont="1" applyFill="1" applyBorder="1"/>
    <xf numFmtId="167" fontId="7" fillId="7" borderId="7" xfId="0" applyNumberFormat="1" applyFont="1" applyFill="1" applyBorder="1" applyAlignment="1">
      <alignment horizontal="center" vertical="center"/>
    </xf>
    <xf numFmtId="167" fontId="7" fillId="7" borderId="8" xfId="0" applyNumberFormat="1" applyFont="1" applyFill="1" applyBorder="1" applyAlignment="1">
      <alignment horizontal="center" vertical="center"/>
    </xf>
    <xf numFmtId="0" fontId="1" fillId="2" borderId="4" xfId="0" applyFont="1" applyFill="1" applyBorder="1"/>
    <xf numFmtId="0" fontId="0" fillId="0" borderId="0" xfId="0" applyFont="1" applyFill="1" applyBorder="1" applyAlignment="1"/>
    <xf numFmtId="0" fontId="1" fillId="2" borderId="0" xfId="0" applyFont="1" applyFill="1" applyBorder="1"/>
    <xf numFmtId="171" fontId="1" fillId="2" borderId="0" xfId="0" applyNumberFormat="1" applyFont="1" applyFill="1" applyBorder="1"/>
    <xf numFmtId="171" fontId="5" fillId="2" borderId="0" xfId="0" applyNumberFormat="1" applyFont="1" applyFill="1" applyBorder="1"/>
    <xf numFmtId="9" fontId="0" fillId="0" borderId="0" xfId="0" applyNumberFormat="1" applyBorder="1" applyAlignment="1">
      <alignment horizontal="left"/>
    </xf>
    <xf numFmtId="9" fontId="23" fillId="0" borderId="0" xfId="1" applyFont="1" applyBorder="1"/>
    <xf numFmtId="0" fontId="22" fillId="0" borderId="0" xfId="0" applyFont="1" applyBorder="1"/>
    <xf numFmtId="167" fontId="22" fillId="0" borderId="0" xfId="0" applyNumberFormat="1" applyFont="1" applyBorder="1"/>
    <xf numFmtId="0" fontId="23" fillId="0" borderId="0" xfId="0" applyFont="1" applyBorder="1"/>
    <xf numFmtId="169" fontId="23" fillId="0" borderId="0" xfId="0" applyNumberFormat="1" applyFont="1" applyBorder="1"/>
    <xf numFmtId="0" fontId="24" fillId="0" borderId="0" xfId="0" applyFont="1" applyBorder="1" applyAlignment="1">
      <alignment horizontal="left" indent="3"/>
    </xf>
    <xf numFmtId="9" fontId="24" fillId="0" borderId="0" xfId="1" applyFont="1" applyBorder="1"/>
    <xf numFmtId="0" fontId="22" fillId="20" borderId="0" xfId="0" applyFont="1" applyFill="1" applyBorder="1"/>
    <xf numFmtId="0" fontId="25" fillId="0" borderId="17" xfId="0" applyFont="1" applyBorder="1"/>
    <xf numFmtId="0" fontId="22" fillId="0" borderId="9" xfId="0" applyFont="1" applyBorder="1"/>
    <xf numFmtId="167" fontId="22" fillId="0" borderId="9" xfId="0" applyNumberFormat="1" applyFont="1" applyBorder="1"/>
    <xf numFmtId="0" fontId="25" fillId="0" borderId="9" xfId="0" applyFont="1" applyBorder="1"/>
    <xf numFmtId="0" fontId="26" fillId="21" borderId="10" xfId="0" applyFont="1" applyFill="1" applyBorder="1"/>
    <xf numFmtId="167" fontId="26" fillId="21" borderId="10" xfId="0" applyNumberFormat="1" applyFont="1" applyFill="1" applyBorder="1"/>
    <xf numFmtId="0" fontId="19" fillId="21" borderId="0" xfId="0" applyFont="1" applyFill="1"/>
    <xf numFmtId="172" fontId="19" fillId="21" borderId="0" xfId="0" applyNumberFormat="1" applyFont="1" applyFill="1"/>
    <xf numFmtId="172" fontId="15" fillId="21" borderId="0" xfId="0" applyNumberFormat="1" applyFont="1" applyFill="1"/>
    <xf numFmtId="0" fontId="20" fillId="21" borderId="0" xfId="0" applyFont="1" applyFill="1"/>
    <xf numFmtId="2" fontId="20" fillId="21" borderId="0" xfId="0" applyNumberFormat="1" applyFont="1" applyFill="1"/>
    <xf numFmtId="2" fontId="26" fillId="21" borderId="0" xfId="0" applyNumberFormat="1" applyFont="1" applyFill="1"/>
    <xf numFmtId="167" fontId="15" fillId="21" borderId="0" xfId="0" applyNumberFormat="1" applyFont="1" applyFill="1"/>
    <xf numFmtId="167" fontId="26" fillId="21" borderId="0" xfId="0" applyNumberFormat="1" applyFont="1" applyFill="1"/>
    <xf numFmtId="170" fontId="7" fillId="0" borderId="0" xfId="0" applyNumberFormat="1" applyFont="1" applyFill="1" applyBorder="1"/>
    <xf numFmtId="0" fontId="5" fillId="13" borderId="0" xfId="0" applyFont="1" applyFill="1" applyBorder="1"/>
    <xf numFmtId="0" fontId="5" fillId="13" borderId="0" xfId="0" applyFont="1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0" xfId="0" applyFont="1" applyBorder="1"/>
    <xf numFmtId="167" fontId="5" fillId="13" borderId="0" xfId="0" applyNumberFormat="1" applyFont="1" applyFill="1" applyBorder="1" applyAlignment="1">
      <alignment horizontal="right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167" fontId="7" fillId="2" borderId="2" xfId="0" applyNumberFormat="1" applyFont="1" applyFill="1" applyBorder="1" applyAlignment="1">
      <alignment horizontal="center" vertical="center"/>
    </xf>
    <xf numFmtId="167" fontId="7" fillId="2" borderId="0" xfId="0" applyNumberFormat="1" applyFont="1" applyFill="1" applyBorder="1" applyAlignment="1">
      <alignment horizontal="center" vertical="center"/>
    </xf>
    <xf numFmtId="167" fontId="7" fillId="2" borderId="7" xfId="0" applyNumberFormat="1" applyFont="1" applyFill="1" applyBorder="1" applyAlignment="1">
      <alignment horizontal="center" vertical="center"/>
    </xf>
    <xf numFmtId="167" fontId="7" fillId="2" borderId="3" xfId="0" applyNumberFormat="1" applyFont="1" applyFill="1" applyBorder="1" applyAlignment="1">
      <alignment horizontal="center" vertical="center"/>
    </xf>
    <xf numFmtId="167" fontId="7" fillId="2" borderId="5" xfId="0" applyNumberFormat="1" applyFont="1" applyFill="1" applyBorder="1" applyAlignment="1">
      <alignment horizontal="center" vertical="center"/>
    </xf>
    <xf numFmtId="167" fontId="7" fillId="2" borderId="8" xfId="0" applyNumberFormat="1" applyFont="1" applyFill="1" applyBorder="1" applyAlignment="1">
      <alignment horizontal="center" vertical="center"/>
    </xf>
    <xf numFmtId="167" fontId="7" fillId="7" borderId="2" xfId="0" applyNumberFormat="1" applyFont="1" applyFill="1" applyBorder="1" applyAlignment="1">
      <alignment horizontal="center" vertical="center"/>
    </xf>
    <xf numFmtId="167" fontId="7" fillId="7" borderId="0" xfId="0" applyNumberFormat="1" applyFont="1" applyFill="1" applyBorder="1" applyAlignment="1">
      <alignment horizontal="center" vertical="center"/>
    </xf>
    <xf numFmtId="167" fontId="7" fillId="7" borderId="7" xfId="0" applyNumberFormat="1" applyFont="1" applyFill="1" applyBorder="1" applyAlignment="1">
      <alignment horizontal="center" vertical="center"/>
    </xf>
    <xf numFmtId="167" fontId="7" fillId="7" borderId="3" xfId="0" applyNumberFormat="1" applyFont="1" applyFill="1" applyBorder="1" applyAlignment="1">
      <alignment horizontal="center" vertical="center"/>
    </xf>
    <xf numFmtId="167" fontId="7" fillId="7" borderId="5" xfId="0" applyNumberFormat="1" applyFont="1" applyFill="1" applyBorder="1" applyAlignment="1">
      <alignment horizontal="center" vertical="center"/>
    </xf>
    <xf numFmtId="167" fontId="7" fillId="7" borderId="8" xfId="0" applyNumberFormat="1" applyFont="1" applyFill="1" applyBorder="1" applyAlignment="1">
      <alignment horizontal="center" vertical="center"/>
    </xf>
    <xf numFmtId="167" fontId="7" fillId="18" borderId="3" xfId="0" applyNumberFormat="1" applyFont="1" applyFill="1" applyBorder="1" applyAlignment="1">
      <alignment horizontal="center" vertical="center"/>
    </xf>
    <xf numFmtId="167" fontId="7" fillId="18" borderId="5" xfId="0" applyNumberFormat="1" applyFont="1" applyFill="1" applyBorder="1" applyAlignment="1">
      <alignment horizontal="center" vertical="center"/>
    </xf>
    <xf numFmtId="167" fontId="7" fillId="18" borderId="8" xfId="0" applyNumberFormat="1" applyFont="1" applyFill="1" applyBorder="1" applyAlignment="1">
      <alignment horizontal="center" vertical="center"/>
    </xf>
    <xf numFmtId="167" fontId="7" fillId="18" borderId="2" xfId="0" applyNumberFormat="1" applyFont="1" applyFill="1" applyBorder="1" applyAlignment="1">
      <alignment horizontal="center" vertical="center"/>
    </xf>
    <xf numFmtId="167" fontId="7" fillId="18" borderId="0" xfId="0" applyNumberFormat="1" applyFont="1" applyFill="1" applyBorder="1" applyAlignment="1">
      <alignment horizontal="center" vertical="center"/>
    </xf>
    <xf numFmtId="167" fontId="7" fillId="18" borderId="7" xfId="0" applyNumberFormat="1" applyFont="1" applyFill="1" applyBorder="1" applyAlignment="1">
      <alignment horizontal="center" vertical="center"/>
    </xf>
    <xf numFmtId="167" fontId="7" fillId="9" borderId="3" xfId="0" applyNumberFormat="1" applyFont="1" applyFill="1" applyBorder="1" applyAlignment="1">
      <alignment horizontal="center" vertical="center"/>
    </xf>
    <xf numFmtId="167" fontId="7" fillId="9" borderId="5" xfId="0" applyNumberFormat="1" applyFont="1" applyFill="1" applyBorder="1" applyAlignment="1">
      <alignment horizontal="center" vertical="center"/>
    </xf>
    <xf numFmtId="167" fontId="7" fillId="9" borderId="8" xfId="0" applyNumberFormat="1" applyFont="1" applyFill="1" applyBorder="1" applyAlignment="1">
      <alignment horizontal="center" vertical="center"/>
    </xf>
    <xf numFmtId="167" fontId="7" fillId="9" borderId="2" xfId="0" applyNumberFormat="1" applyFont="1" applyFill="1" applyBorder="1" applyAlignment="1">
      <alignment horizontal="center" vertical="center"/>
    </xf>
    <xf numFmtId="167" fontId="7" fillId="9" borderId="0" xfId="0" applyNumberFormat="1" applyFont="1" applyFill="1" applyBorder="1" applyAlignment="1">
      <alignment horizontal="center" vertical="center"/>
    </xf>
    <xf numFmtId="167" fontId="7" fillId="9" borderId="7" xfId="0" applyNumberFormat="1" applyFont="1" applyFill="1" applyBorder="1" applyAlignment="1">
      <alignment horizontal="center" vertical="center"/>
    </xf>
    <xf numFmtId="167" fontId="7" fillId="11" borderId="2" xfId="0" applyNumberFormat="1" applyFont="1" applyFill="1" applyBorder="1" applyAlignment="1">
      <alignment horizontal="center" vertical="center"/>
    </xf>
    <xf numFmtId="167" fontId="7" fillId="11" borderId="0" xfId="0" applyNumberFormat="1" applyFont="1" applyFill="1" applyBorder="1" applyAlignment="1">
      <alignment horizontal="center" vertical="center"/>
    </xf>
    <xf numFmtId="167" fontId="7" fillId="11" borderId="7" xfId="0" applyNumberFormat="1" applyFont="1" applyFill="1" applyBorder="1" applyAlignment="1">
      <alignment horizontal="center" vertical="center"/>
    </xf>
    <xf numFmtId="167" fontId="7" fillId="11" borderId="3" xfId="0" applyNumberFormat="1" applyFont="1" applyFill="1" applyBorder="1" applyAlignment="1">
      <alignment horizontal="center" vertical="center"/>
    </xf>
    <xf numFmtId="167" fontId="7" fillId="11" borderId="5" xfId="0" applyNumberFormat="1" applyFont="1" applyFill="1" applyBorder="1" applyAlignment="1">
      <alignment horizontal="center" vertical="center"/>
    </xf>
    <xf numFmtId="167" fontId="7" fillId="11" borderId="8" xfId="0" applyNumberFormat="1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67" fontId="7" fillId="0" borderId="0" xfId="0" applyNumberFormat="1" applyFont="1" applyFill="1" applyBorder="1" applyAlignment="1">
      <alignment horizontal="center" vertical="center"/>
    </xf>
    <xf numFmtId="167" fontId="7" fillId="10" borderId="2" xfId="0" applyNumberFormat="1" applyFont="1" applyFill="1" applyBorder="1" applyAlignment="1">
      <alignment horizontal="center" vertical="center"/>
    </xf>
    <xf numFmtId="167" fontId="7" fillId="10" borderId="0" xfId="0" applyNumberFormat="1" applyFont="1" applyFill="1" applyBorder="1" applyAlignment="1">
      <alignment horizontal="center" vertical="center"/>
    </xf>
    <xf numFmtId="167" fontId="7" fillId="10" borderId="7" xfId="0" applyNumberFormat="1" applyFont="1" applyFill="1" applyBorder="1" applyAlignment="1">
      <alignment horizontal="center" vertical="center"/>
    </xf>
    <xf numFmtId="167" fontId="7" fillId="10" borderId="3" xfId="0" applyNumberFormat="1" applyFont="1" applyFill="1" applyBorder="1" applyAlignment="1">
      <alignment horizontal="center" vertical="center"/>
    </xf>
    <xf numFmtId="167" fontId="7" fillId="10" borderId="5" xfId="0" applyNumberFormat="1" applyFont="1" applyFill="1" applyBorder="1" applyAlignment="1">
      <alignment horizontal="center" vertical="center"/>
    </xf>
    <xf numFmtId="167" fontId="7" fillId="10" borderId="8" xfId="0" applyNumberFormat="1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166" fontId="4" fillId="17" borderId="0" xfId="0" applyNumberFormat="1" applyFont="1" applyFill="1" applyBorder="1"/>
    <xf numFmtId="0" fontId="4" fillId="0" borderId="0" xfId="0" applyFont="1" applyFill="1" applyBorder="1"/>
    <xf numFmtId="180" fontId="4" fillId="0" borderId="0" xfId="0" applyNumberFormat="1" applyFont="1" applyFill="1" applyBorder="1"/>
    <xf numFmtId="180" fontId="0" fillId="0" borderId="0" xfId="0" applyNumberFormat="1" applyFont="1" applyFill="1" applyBorder="1"/>
    <xf numFmtId="0" fontId="4" fillId="0" borderId="18" xfId="0" applyFont="1" applyFill="1" applyBorder="1"/>
    <xf numFmtId="166" fontId="4" fillId="0" borderId="18" xfId="0" applyNumberFormat="1" applyFont="1" applyFill="1" applyBorder="1"/>
    <xf numFmtId="0" fontId="0" fillId="0" borderId="9" xfId="0" applyFont="1" applyFill="1" applyBorder="1"/>
    <xf numFmtId="180" fontId="0" fillId="0" borderId="9" xfId="0" applyNumberFormat="1" applyFont="1" applyFill="1" applyBorder="1"/>
    <xf numFmtId="0" fontId="4" fillId="22" borderId="17" xfId="0" applyFont="1" applyFill="1" applyBorder="1"/>
    <xf numFmtId="0" fontId="4" fillId="22" borderId="17" xfId="0" applyFont="1" applyFill="1" applyBorder="1" applyAlignment="1">
      <alignment horizontal="right"/>
    </xf>
    <xf numFmtId="0" fontId="27" fillId="0" borderId="0" xfId="0" applyFont="1" applyFill="1" applyBorder="1"/>
    <xf numFmtId="180" fontId="27" fillId="0" borderId="0" xfId="0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0000FF"/>
      <color rgb="FFFF0000"/>
      <color rgb="FFFE958A"/>
      <color rgb="FFCC0066"/>
      <color rgb="FFFF66FF"/>
      <color rgb="FFFF9933"/>
      <color rgb="FFFF9900"/>
      <color rgb="FFFFFF66"/>
      <color rgb="FF9966FF"/>
      <color rgb="FFD967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38</xdr:row>
      <xdr:rowOff>114300</xdr:rowOff>
    </xdr:from>
    <xdr:to>
      <xdr:col>0</xdr:col>
      <xdr:colOff>4047356</xdr:colOff>
      <xdr:row>47</xdr:row>
      <xdr:rowOff>102624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7162800"/>
          <a:ext cx="3542531" cy="1702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5%2009%202020%20E%20grandis%20_%20costing%20models%20TB%20vs%20GS%20vs%20FT-O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S"/>
      <sheetName val="SHEET A"/>
      <sheetName val="SHEET B"/>
      <sheetName val="SHEET C"/>
      <sheetName val="SHEET D"/>
      <sheetName val="SHEET E"/>
      <sheetName val="FINAL"/>
      <sheetName val="REPORT"/>
      <sheetName val="REPORT FINAL"/>
    </sheetNames>
    <sheetDataSet>
      <sheetData sheetId="0"/>
      <sheetData sheetId="1">
        <row r="35">
          <cell r="C35">
            <v>3</v>
          </cell>
        </row>
        <row r="36">
          <cell r="C36">
            <v>0.06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"/>
  <sheetViews>
    <sheetView showGridLines="0" zoomScale="130" zoomScaleNormal="130" workbookViewId="0">
      <selection activeCell="A5" sqref="A5:B5"/>
    </sheetView>
  </sheetViews>
  <sheetFormatPr defaultRowHeight="15" x14ac:dyDescent="0.25"/>
  <cols>
    <col min="1" max="1" width="12.7109375" bestFit="1" customWidth="1"/>
    <col min="2" max="2" width="47.28515625" style="105" customWidth="1"/>
  </cols>
  <sheetData>
    <row r="1" spans="1:2" ht="45" x14ac:dyDescent="0.25">
      <c r="A1" s="106" t="s">
        <v>62</v>
      </c>
      <c r="B1" s="107" t="s">
        <v>68</v>
      </c>
    </row>
    <row r="2" spans="1:2" ht="45" x14ac:dyDescent="0.25">
      <c r="A2" s="106" t="s">
        <v>61</v>
      </c>
      <c r="B2" s="107" t="s">
        <v>66</v>
      </c>
    </row>
    <row r="3" spans="1:2" ht="45" x14ac:dyDescent="0.25">
      <c r="A3" s="106" t="s">
        <v>63</v>
      </c>
      <c r="B3" s="107" t="s">
        <v>69</v>
      </c>
    </row>
    <row r="4" spans="1:2" ht="45" x14ac:dyDescent="0.25">
      <c r="A4" s="106" t="s">
        <v>64</v>
      </c>
      <c r="B4" s="107" t="s">
        <v>70</v>
      </c>
    </row>
    <row r="5" spans="1:2" ht="60" x14ac:dyDescent="0.25">
      <c r="A5" s="106" t="s">
        <v>65</v>
      </c>
      <c r="B5" s="107" t="s">
        <v>67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8"/>
  <sheetViews>
    <sheetView showGridLines="0" zoomScale="85" zoomScaleNormal="85" workbookViewId="0">
      <selection activeCell="B21" sqref="B21"/>
    </sheetView>
  </sheetViews>
  <sheetFormatPr defaultRowHeight="15" x14ac:dyDescent="0.25"/>
  <cols>
    <col min="1" max="1" width="83" style="74" bestFit="1" customWidth="1"/>
    <col min="2" max="2" width="12.5703125" style="74" bestFit="1" customWidth="1"/>
    <col min="3" max="3" width="10.85546875" style="74" bestFit="1" customWidth="1"/>
    <col min="4" max="16384" width="9.140625" style="74"/>
  </cols>
  <sheetData>
    <row r="1" spans="1:7" x14ac:dyDescent="0.25">
      <c r="B1" s="123">
        <v>43988</v>
      </c>
      <c r="C1" s="153">
        <v>0.06</v>
      </c>
    </row>
    <row r="2" spans="1:7" x14ac:dyDescent="0.25">
      <c r="A2" s="120" t="s">
        <v>55</v>
      </c>
      <c r="B2" s="120" t="s">
        <v>52</v>
      </c>
      <c r="C2" s="120" t="s">
        <v>59</v>
      </c>
    </row>
    <row r="3" spans="1:7" x14ac:dyDescent="0.25">
      <c r="A3" s="167" t="s">
        <v>191</v>
      </c>
      <c r="B3" s="250"/>
    </row>
    <row r="4" spans="1:7" x14ac:dyDescent="0.25">
      <c r="A4" s="121" t="s">
        <v>193</v>
      </c>
      <c r="B4" s="250">
        <f>SUM(B5:B10)</f>
        <v>161</v>
      </c>
    </row>
    <row r="5" spans="1:7" x14ac:dyDescent="0.25">
      <c r="A5" s="108" t="s">
        <v>194</v>
      </c>
      <c r="B5" s="78">
        <v>1</v>
      </c>
      <c r="C5" s="79">
        <f t="shared" ref="C5" si="0">$C$1*B5</f>
        <v>0.06</v>
      </c>
    </row>
    <row r="6" spans="1:7" x14ac:dyDescent="0.25">
      <c r="A6" s="108" t="s">
        <v>243</v>
      </c>
      <c r="B6" s="78">
        <v>5</v>
      </c>
      <c r="C6" s="79">
        <f>$C$1*B6</f>
        <v>0.3</v>
      </c>
    </row>
    <row r="7" spans="1:7" x14ac:dyDescent="0.25">
      <c r="A7" s="108" t="s">
        <v>195</v>
      </c>
      <c r="B7" s="78">
        <v>20</v>
      </c>
      <c r="C7" s="79">
        <f>$C$1*B7</f>
        <v>1.2</v>
      </c>
    </row>
    <row r="8" spans="1:7" x14ac:dyDescent="0.25">
      <c r="A8" s="108" t="s">
        <v>196</v>
      </c>
      <c r="B8" s="152">
        <v>75</v>
      </c>
      <c r="C8" s="122">
        <f>$C$1*B8</f>
        <v>4.5</v>
      </c>
    </row>
    <row r="9" spans="1:7" x14ac:dyDescent="0.25">
      <c r="A9" s="108" t="s">
        <v>197</v>
      </c>
      <c r="B9" s="78">
        <v>30</v>
      </c>
      <c r="C9" s="79">
        <f t="shared" ref="C9" si="1">$C$1*B9</f>
        <v>1.7999999999999998</v>
      </c>
    </row>
    <row r="10" spans="1:7" x14ac:dyDescent="0.25">
      <c r="A10" s="108" t="s">
        <v>213</v>
      </c>
      <c r="B10" s="78">
        <v>30</v>
      </c>
      <c r="C10" s="79">
        <f>$C$1*B10</f>
        <v>1.7999999999999998</v>
      </c>
    </row>
    <row r="11" spans="1:7" x14ac:dyDescent="0.25">
      <c r="A11" s="121" t="s">
        <v>198</v>
      </c>
      <c r="B11" s="250">
        <f>SUM(B12:B13)</f>
        <v>3.5</v>
      </c>
      <c r="C11" s="79"/>
    </row>
    <row r="12" spans="1:7" x14ac:dyDescent="0.25">
      <c r="A12" s="74" t="s">
        <v>56</v>
      </c>
      <c r="B12" s="104">
        <v>1</v>
      </c>
      <c r="C12" s="79">
        <f>$C$1*B12</f>
        <v>0.06</v>
      </c>
    </row>
    <row r="13" spans="1:7" x14ac:dyDescent="0.25">
      <c r="A13" s="74" t="s">
        <v>90</v>
      </c>
      <c r="B13" s="78">
        <v>2.5</v>
      </c>
      <c r="C13" s="79">
        <f>$C$1*B13</f>
        <v>0.15</v>
      </c>
    </row>
    <row r="14" spans="1:7" x14ac:dyDescent="0.25">
      <c r="A14" s="121" t="s">
        <v>199</v>
      </c>
      <c r="B14" s="250">
        <f>B15</f>
        <v>400</v>
      </c>
      <c r="C14" s="79"/>
      <c r="E14" s="120" t="s">
        <v>291</v>
      </c>
      <c r="F14" s="120" t="s">
        <v>52</v>
      </c>
      <c r="G14" s="120" t="s">
        <v>59</v>
      </c>
    </row>
    <row r="15" spans="1:7" x14ac:dyDescent="0.25">
      <c r="A15" s="74" t="s">
        <v>53</v>
      </c>
      <c r="B15" s="104">
        <v>400</v>
      </c>
      <c r="C15" s="122">
        <f>$C$1*B15</f>
        <v>24</v>
      </c>
      <c r="E15" s="175">
        <v>1</v>
      </c>
      <c r="F15" s="104">
        <v>400</v>
      </c>
      <c r="G15" s="79">
        <f>$C$1*F15</f>
        <v>24</v>
      </c>
    </row>
    <row r="16" spans="1:7" x14ac:dyDescent="0.25">
      <c r="A16" s="121" t="s">
        <v>200</v>
      </c>
      <c r="B16" s="250">
        <f>SUM(B17:B19)</f>
        <v>55</v>
      </c>
      <c r="C16" s="79"/>
      <c r="E16" s="175">
        <v>0.75</v>
      </c>
      <c r="F16" s="78">
        <f>F15*0.75</f>
        <v>300</v>
      </c>
      <c r="G16" s="79">
        <f t="shared" ref="G16:G18" si="2">$C$1*F16</f>
        <v>18</v>
      </c>
    </row>
    <row r="17" spans="1:7" x14ac:dyDescent="0.25">
      <c r="A17" s="74" t="s">
        <v>201</v>
      </c>
      <c r="B17" s="78">
        <v>5</v>
      </c>
      <c r="C17" s="79">
        <f>$C$1*B17</f>
        <v>0.3</v>
      </c>
      <c r="E17" s="175">
        <v>0.5</v>
      </c>
      <c r="F17" s="78">
        <f>F15*0.5</f>
        <v>200</v>
      </c>
      <c r="G17" s="79">
        <f t="shared" si="2"/>
        <v>12</v>
      </c>
    </row>
    <row r="18" spans="1:7" x14ac:dyDescent="0.25">
      <c r="A18" s="74" t="s">
        <v>202</v>
      </c>
      <c r="B18" s="78">
        <v>20</v>
      </c>
      <c r="C18" s="79">
        <f>$C$1*B18</f>
        <v>1.2</v>
      </c>
      <c r="E18" s="175">
        <v>0.25</v>
      </c>
      <c r="F18" s="78">
        <f>F15*0.25</f>
        <v>100</v>
      </c>
      <c r="G18" s="79">
        <f t="shared" si="2"/>
        <v>6</v>
      </c>
    </row>
    <row r="19" spans="1:7" x14ac:dyDescent="0.25">
      <c r="A19" s="74" t="s">
        <v>212</v>
      </c>
      <c r="B19" s="78">
        <v>30</v>
      </c>
      <c r="C19" s="79">
        <f>$C$1*B19</f>
        <v>1.7999999999999998</v>
      </c>
    </row>
    <row r="20" spans="1:7" x14ac:dyDescent="0.25">
      <c r="A20" s="121" t="s">
        <v>204</v>
      </c>
      <c r="B20" s="250">
        <f>SUM(B21:B23)</f>
        <v>110</v>
      </c>
    </row>
    <row r="21" spans="1:7" x14ac:dyDescent="0.25">
      <c r="A21" s="74" t="s">
        <v>205</v>
      </c>
      <c r="B21" s="78">
        <v>5</v>
      </c>
      <c r="C21" s="79">
        <f>$C$1*B21</f>
        <v>0.3</v>
      </c>
    </row>
    <row r="22" spans="1:7" x14ac:dyDescent="0.25">
      <c r="A22" s="74" t="s">
        <v>206</v>
      </c>
      <c r="B22" s="152">
        <v>75</v>
      </c>
      <c r="C22" s="79">
        <f>$C$1*B22</f>
        <v>4.5</v>
      </c>
    </row>
    <row r="23" spans="1:7" x14ac:dyDescent="0.25">
      <c r="A23" s="74" t="s">
        <v>203</v>
      </c>
      <c r="B23" s="78">
        <v>30</v>
      </c>
      <c r="C23" s="79">
        <f>$C$1*B23</f>
        <v>1.7999999999999998</v>
      </c>
    </row>
    <row r="24" spans="1:7" x14ac:dyDescent="0.25">
      <c r="A24" s="167" t="s">
        <v>192</v>
      </c>
      <c r="B24" s="250"/>
      <c r="C24" s="79"/>
    </row>
    <row r="25" spans="1:7" x14ac:dyDescent="0.25">
      <c r="A25" s="121" t="s">
        <v>207</v>
      </c>
      <c r="B25" s="250">
        <f>SUM(B26:B27)</f>
        <v>37</v>
      </c>
      <c r="C25" s="79"/>
    </row>
    <row r="26" spans="1:7" x14ac:dyDescent="0.25">
      <c r="A26" s="108" t="s">
        <v>89</v>
      </c>
      <c r="B26" s="78">
        <v>7</v>
      </c>
      <c r="C26" s="79">
        <f>$C$1*B26</f>
        <v>0.42</v>
      </c>
    </row>
    <row r="27" spans="1:7" x14ac:dyDescent="0.25">
      <c r="A27" s="108" t="s">
        <v>208</v>
      </c>
      <c r="B27" s="78">
        <v>30</v>
      </c>
      <c r="C27" s="79">
        <f>$C$1*B27</f>
        <v>1.7999999999999998</v>
      </c>
    </row>
    <row r="28" spans="1:7" x14ac:dyDescent="0.25">
      <c r="A28" s="121" t="s">
        <v>209</v>
      </c>
      <c r="B28" s="250">
        <f>SUM(B29:B33)</f>
        <v>29.5</v>
      </c>
      <c r="C28" s="79"/>
    </row>
    <row r="29" spans="1:7" x14ac:dyDescent="0.25">
      <c r="A29" s="74" t="s">
        <v>210</v>
      </c>
      <c r="B29" s="78">
        <v>3.5</v>
      </c>
      <c r="C29" s="79">
        <f>$C$1*B29</f>
        <v>0.21</v>
      </c>
    </row>
    <row r="30" spans="1:7" x14ac:dyDescent="0.25">
      <c r="A30" s="74" t="s">
        <v>71</v>
      </c>
      <c r="B30" s="104">
        <v>15</v>
      </c>
      <c r="C30" s="79">
        <f t="shared" ref="C30:C37" si="3">$C$1*B30</f>
        <v>0.89999999999999991</v>
      </c>
    </row>
    <row r="31" spans="1:7" x14ac:dyDescent="0.25">
      <c r="A31" s="74" t="s">
        <v>91</v>
      </c>
      <c r="B31" s="104">
        <v>2</v>
      </c>
      <c r="C31" s="79">
        <f>$C$1*B31</f>
        <v>0.12</v>
      </c>
    </row>
    <row r="32" spans="1:7" x14ac:dyDescent="0.25">
      <c r="A32" s="108" t="s">
        <v>282</v>
      </c>
      <c r="B32" s="104">
        <v>8</v>
      </c>
      <c r="C32" s="79">
        <f t="shared" si="3"/>
        <v>0.48</v>
      </c>
    </row>
    <row r="33" spans="1:3" x14ac:dyDescent="0.25">
      <c r="A33" s="74" t="s">
        <v>92</v>
      </c>
      <c r="B33" s="104">
        <v>1</v>
      </c>
      <c r="C33" s="79">
        <f t="shared" si="3"/>
        <v>0.06</v>
      </c>
    </row>
    <row r="34" spans="1:3" x14ac:dyDescent="0.25">
      <c r="A34" s="121" t="s">
        <v>211</v>
      </c>
      <c r="B34" s="250">
        <f>SUM(B35:B37)</f>
        <v>96</v>
      </c>
      <c r="C34" s="79"/>
    </row>
    <row r="35" spans="1:3" x14ac:dyDescent="0.25">
      <c r="A35" s="74" t="s">
        <v>72</v>
      </c>
      <c r="B35" s="104">
        <v>50</v>
      </c>
      <c r="C35" s="79">
        <f t="shared" si="3"/>
        <v>3</v>
      </c>
    </row>
    <row r="36" spans="1:3" x14ac:dyDescent="0.25">
      <c r="A36" s="74" t="s">
        <v>54</v>
      </c>
      <c r="B36" s="104">
        <v>1</v>
      </c>
      <c r="C36" s="79">
        <f t="shared" si="3"/>
        <v>0.06</v>
      </c>
    </row>
    <row r="37" spans="1:3" x14ac:dyDescent="0.25">
      <c r="A37" s="74" t="s">
        <v>93</v>
      </c>
      <c r="B37" s="104">
        <v>45</v>
      </c>
      <c r="C37" s="79">
        <f t="shared" si="3"/>
        <v>2.6999999999999997</v>
      </c>
    </row>
    <row r="38" spans="1:3" x14ac:dyDescent="0.25">
      <c r="B38" s="78"/>
      <c r="C38" s="79"/>
    </row>
  </sheetData>
  <autoFilter ref="A2:C37" xr:uid="{00000000-0001-0000-0100-000000000000}"/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12C0E-B1FC-42F2-904D-62995E83ED50}">
  <dimension ref="B2:C14"/>
  <sheetViews>
    <sheetView showGridLines="0" tabSelected="1" zoomScale="220" zoomScaleNormal="220" workbookViewId="0">
      <selection activeCell="B2" sqref="B2:C13"/>
    </sheetView>
  </sheetViews>
  <sheetFormatPr defaultRowHeight="15" x14ac:dyDescent="0.25"/>
  <cols>
    <col min="2" max="2" width="35.7109375" bestFit="1" customWidth="1"/>
    <col min="3" max="3" width="9" bestFit="1" customWidth="1"/>
  </cols>
  <sheetData>
    <row r="2" spans="2:3" x14ac:dyDescent="0.25">
      <c r="B2" s="258" t="s">
        <v>311</v>
      </c>
      <c r="C2" s="259" t="s">
        <v>52</v>
      </c>
    </row>
    <row r="3" spans="2:3" x14ac:dyDescent="0.25">
      <c r="B3" s="254" t="s">
        <v>310</v>
      </c>
      <c r="C3" s="255"/>
    </row>
    <row r="4" spans="2:3" x14ac:dyDescent="0.25">
      <c r="B4" s="45" t="s">
        <v>313</v>
      </c>
      <c r="C4" s="253">
        <f>161-75</f>
        <v>86</v>
      </c>
    </row>
    <row r="5" spans="2:3" x14ac:dyDescent="0.25">
      <c r="B5" s="45" t="s">
        <v>312</v>
      </c>
      <c r="C5" s="253">
        <v>161</v>
      </c>
    </row>
    <row r="6" spans="2:3" x14ac:dyDescent="0.25">
      <c r="B6" s="45" t="s">
        <v>316</v>
      </c>
      <c r="C6" s="253">
        <v>3.5</v>
      </c>
    </row>
    <row r="7" spans="2:3" x14ac:dyDescent="0.25">
      <c r="B7" s="260" t="s">
        <v>308</v>
      </c>
      <c r="C7" s="261">
        <v>400</v>
      </c>
    </row>
    <row r="8" spans="2:3" x14ac:dyDescent="0.25">
      <c r="B8" s="45" t="s">
        <v>315</v>
      </c>
      <c r="C8" s="253">
        <v>55</v>
      </c>
    </row>
    <row r="9" spans="2:3" x14ac:dyDescent="0.25">
      <c r="B9" s="45" t="s">
        <v>314</v>
      </c>
      <c r="C9" s="253">
        <v>110</v>
      </c>
    </row>
    <row r="10" spans="2:3" x14ac:dyDescent="0.25">
      <c r="B10" s="251" t="s">
        <v>309</v>
      </c>
      <c r="C10" s="252"/>
    </row>
    <row r="11" spans="2:3" x14ac:dyDescent="0.25">
      <c r="B11" s="45" t="s">
        <v>317</v>
      </c>
      <c r="C11" s="253">
        <v>37</v>
      </c>
    </row>
    <row r="12" spans="2:3" x14ac:dyDescent="0.25">
      <c r="B12" s="45" t="s">
        <v>209</v>
      </c>
      <c r="C12" s="253">
        <v>29.5</v>
      </c>
    </row>
    <row r="13" spans="2:3" x14ac:dyDescent="0.25">
      <c r="B13" s="256" t="s">
        <v>211</v>
      </c>
      <c r="C13" s="257">
        <v>96</v>
      </c>
    </row>
    <row r="14" spans="2:3" x14ac:dyDescent="0.25">
      <c r="B14" s="74"/>
      <c r="C14" s="7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69"/>
  <sheetViews>
    <sheetView showGridLines="0" zoomScale="115" zoomScaleNormal="115" workbookViewId="0">
      <pane ySplit="1" topLeftCell="A53" activePane="bottomLeft" state="frozen"/>
      <selection pane="bottomLeft" activeCell="C72" sqref="C72"/>
    </sheetView>
  </sheetViews>
  <sheetFormatPr defaultRowHeight="15" x14ac:dyDescent="0.25"/>
  <cols>
    <col min="1" max="1" width="82.5703125" style="7" customWidth="1"/>
    <col min="2" max="2" width="18.140625" style="7" bestFit="1" customWidth="1"/>
    <col min="3" max="3" width="11.7109375" style="2" bestFit="1" customWidth="1"/>
    <col min="4" max="4" width="8.5703125" style="2" bestFit="1" customWidth="1"/>
    <col min="5" max="16384" width="9.140625" style="7"/>
  </cols>
  <sheetData>
    <row r="1" spans="1:6" ht="18.75" x14ac:dyDescent="0.25">
      <c r="A1" s="75" t="s">
        <v>85</v>
      </c>
      <c r="B1" s="76" t="s">
        <v>3</v>
      </c>
      <c r="C1" s="77" t="s">
        <v>0</v>
      </c>
      <c r="D1" s="77" t="s">
        <v>1</v>
      </c>
    </row>
    <row r="2" spans="1:6" ht="15.75" thickBot="1" x14ac:dyDescent="0.3">
      <c r="A2" s="17" t="s">
        <v>283</v>
      </c>
      <c r="C2" s="15"/>
      <c r="D2" s="15"/>
    </row>
    <row r="3" spans="1:6" x14ac:dyDescent="0.25">
      <c r="A3" s="18" t="s">
        <v>238</v>
      </c>
      <c r="B3" s="19">
        <v>3000</v>
      </c>
      <c r="C3" s="231">
        <v>0</v>
      </c>
      <c r="D3" s="234">
        <v>0</v>
      </c>
      <c r="F3" s="237" t="s">
        <v>284</v>
      </c>
    </row>
    <row r="4" spans="1:6" x14ac:dyDescent="0.25">
      <c r="A4" s="53" t="s">
        <v>26</v>
      </c>
      <c r="B4" s="94">
        <f>'[1]SHEET A'!C35</f>
        <v>3</v>
      </c>
      <c r="C4" s="232"/>
      <c r="D4" s="235"/>
      <c r="F4" s="238"/>
    </row>
    <row r="5" spans="1:6" x14ac:dyDescent="0.25">
      <c r="A5" s="53" t="s">
        <v>25</v>
      </c>
      <c r="B5" s="94">
        <f>'[1]SHEET A'!C36</f>
        <v>0.06</v>
      </c>
      <c r="C5" s="232"/>
      <c r="D5" s="235"/>
      <c r="F5" s="238"/>
    </row>
    <row r="6" spans="1:6" ht="15.75" thickBot="1" x14ac:dyDescent="0.3">
      <c r="A6" s="22" t="s">
        <v>285</v>
      </c>
      <c r="B6" s="142">
        <f>B3*(B4+B5)</f>
        <v>9180</v>
      </c>
      <c r="C6" s="233"/>
      <c r="D6" s="236"/>
      <c r="F6" s="239"/>
    </row>
    <row r="7" spans="1:6" ht="15.75" thickBot="1" x14ac:dyDescent="0.3">
      <c r="A7" s="140" t="s">
        <v>107</v>
      </c>
      <c r="B7" s="141">
        <f>B6</f>
        <v>9180</v>
      </c>
      <c r="C7" s="7"/>
      <c r="D7" s="7"/>
      <c r="F7" s="171"/>
    </row>
    <row r="8" spans="1:6" ht="15.75" thickBot="1" x14ac:dyDescent="0.3">
      <c r="A8" s="23" t="s">
        <v>102</v>
      </c>
      <c r="B8" s="1"/>
      <c r="C8" s="15"/>
      <c r="D8" s="15"/>
      <c r="F8" s="204" t="s">
        <v>222</v>
      </c>
    </row>
    <row r="9" spans="1:6" x14ac:dyDescent="0.25">
      <c r="A9" s="24" t="s">
        <v>86</v>
      </c>
      <c r="B9" s="111">
        <v>100</v>
      </c>
      <c r="C9" s="213">
        <v>24</v>
      </c>
      <c r="D9" s="216">
        <f>C9/12</f>
        <v>2</v>
      </c>
      <c r="F9" s="205"/>
    </row>
    <row r="10" spans="1:6" x14ac:dyDescent="0.25">
      <c r="A10" s="25" t="s">
        <v>88</v>
      </c>
      <c r="B10" s="26">
        <v>500</v>
      </c>
      <c r="C10" s="214"/>
      <c r="D10" s="217"/>
      <c r="F10" s="205"/>
    </row>
    <row r="11" spans="1:6" x14ac:dyDescent="0.25">
      <c r="A11" s="118" t="s">
        <v>87</v>
      </c>
      <c r="B11" s="143">
        <f>'SHEET A'!C7*B9</f>
        <v>120</v>
      </c>
      <c r="C11" s="214"/>
      <c r="D11" s="217"/>
      <c r="F11" s="205"/>
    </row>
    <row r="12" spans="1:6" x14ac:dyDescent="0.25">
      <c r="A12" s="118" t="s">
        <v>159</v>
      </c>
      <c r="B12" s="143">
        <f>'SHEET A'!C10*B10</f>
        <v>899.99999999999989</v>
      </c>
      <c r="C12" s="214"/>
      <c r="D12" s="217"/>
      <c r="F12" s="205"/>
    </row>
    <row r="13" spans="1:6" x14ac:dyDescent="0.25">
      <c r="A13" s="118" t="s">
        <v>158</v>
      </c>
      <c r="B13" s="143">
        <f>'SHEET A'!C6*B10</f>
        <v>150</v>
      </c>
      <c r="C13" s="214"/>
      <c r="D13" s="217"/>
      <c r="F13" s="205"/>
    </row>
    <row r="14" spans="1:6" x14ac:dyDescent="0.25">
      <c r="A14" s="118" t="s">
        <v>160</v>
      </c>
      <c r="B14" s="143">
        <f>'SHEET A'!C9*B10</f>
        <v>899.99999999999989</v>
      </c>
      <c r="C14" s="214"/>
      <c r="D14" s="217"/>
      <c r="F14" s="205"/>
    </row>
    <row r="15" spans="1:6" ht="15.75" thickBot="1" x14ac:dyDescent="0.3">
      <c r="A15" s="27" t="s">
        <v>218</v>
      </c>
      <c r="B15" s="80">
        <f>B11+B12+B13+B14</f>
        <v>2070</v>
      </c>
      <c r="C15" s="215"/>
      <c r="D15" s="218"/>
      <c r="F15" s="205"/>
    </row>
    <row r="16" spans="1:6" ht="15.75" thickBot="1" x14ac:dyDescent="0.3">
      <c r="A16" s="138" t="s">
        <v>94</v>
      </c>
      <c r="B16" s="1"/>
      <c r="D16" s="3"/>
      <c r="F16" s="205"/>
    </row>
    <row r="17" spans="1:6" x14ac:dyDescent="0.25">
      <c r="A17" s="134" t="s">
        <v>219</v>
      </c>
      <c r="B17" s="135">
        <v>200</v>
      </c>
      <c r="C17" s="207">
        <v>60</v>
      </c>
      <c r="D17" s="210">
        <f>C17/12</f>
        <v>5</v>
      </c>
      <c r="F17" s="205"/>
    </row>
    <row r="18" spans="1:6" x14ac:dyDescent="0.25">
      <c r="A18" s="144" t="s">
        <v>153</v>
      </c>
      <c r="B18" s="139">
        <f>'SHEET A'!C26*B17</f>
        <v>84</v>
      </c>
      <c r="C18" s="208"/>
      <c r="D18" s="211"/>
      <c r="F18" s="205"/>
    </row>
    <row r="19" spans="1:6" x14ac:dyDescent="0.25">
      <c r="A19" s="144" t="s">
        <v>152</v>
      </c>
      <c r="B19" s="139">
        <f>'SHEET A'!C27*B17*5</f>
        <v>1799.9999999999998</v>
      </c>
      <c r="C19" s="208"/>
      <c r="D19" s="211"/>
      <c r="F19" s="205"/>
    </row>
    <row r="20" spans="1:6" ht="15.75" thickBot="1" x14ac:dyDescent="0.3">
      <c r="A20" s="136" t="s">
        <v>130</v>
      </c>
      <c r="B20" s="137">
        <f>B18+B19</f>
        <v>1883.9999999999998</v>
      </c>
      <c r="C20" s="209"/>
      <c r="D20" s="212"/>
      <c r="F20" s="206"/>
    </row>
    <row r="21" spans="1:6" x14ac:dyDescent="0.25">
      <c r="A21" s="37" t="s">
        <v>140</v>
      </c>
      <c r="B21" s="86">
        <f>B15+B20</f>
        <v>3954</v>
      </c>
      <c r="D21" s="38"/>
    </row>
    <row r="22" spans="1:6" ht="15.75" thickBot="1" x14ac:dyDescent="0.3">
      <c r="A22" s="23" t="s">
        <v>95</v>
      </c>
      <c r="B22" s="1"/>
      <c r="C22" s="15"/>
      <c r="D22" s="15"/>
    </row>
    <row r="23" spans="1:6" x14ac:dyDescent="0.25">
      <c r="A23" s="24" t="s">
        <v>37</v>
      </c>
      <c r="B23" s="81">
        <f>'SHEET A'!C12</f>
        <v>0.06</v>
      </c>
      <c r="C23" s="213">
        <v>6</v>
      </c>
      <c r="D23" s="216">
        <f>C23/12</f>
        <v>0.5</v>
      </c>
      <c r="F23" s="204" t="s">
        <v>223</v>
      </c>
    </row>
    <row r="24" spans="1:6" x14ac:dyDescent="0.25">
      <c r="A24" s="25" t="s">
        <v>30</v>
      </c>
      <c r="B24" s="26">
        <v>100</v>
      </c>
      <c r="C24" s="214"/>
      <c r="D24" s="217"/>
      <c r="F24" s="205"/>
    </row>
    <row r="25" spans="1:6" x14ac:dyDescent="0.25">
      <c r="A25" s="25" t="s">
        <v>220</v>
      </c>
      <c r="B25" s="26">
        <v>60</v>
      </c>
      <c r="C25" s="214"/>
      <c r="D25" s="217"/>
      <c r="F25" s="205"/>
    </row>
    <row r="26" spans="1:6" x14ac:dyDescent="0.25">
      <c r="A26" s="25" t="s">
        <v>221</v>
      </c>
      <c r="B26" s="26">
        <f>B24*B25</f>
        <v>6000</v>
      </c>
      <c r="C26" s="214"/>
      <c r="D26" s="217"/>
      <c r="F26" s="205"/>
    </row>
    <row r="27" spans="1:6" ht="15.75" thickBot="1" x14ac:dyDescent="0.3">
      <c r="A27" s="27" t="s">
        <v>23</v>
      </c>
      <c r="B27" s="80">
        <f>B23*B26</f>
        <v>360</v>
      </c>
      <c r="C27" s="215"/>
      <c r="D27" s="218"/>
      <c r="F27" s="205"/>
    </row>
    <row r="28" spans="1:6" ht="15.75" thickBot="1" x14ac:dyDescent="0.3">
      <c r="A28" s="124" t="s">
        <v>96</v>
      </c>
      <c r="B28" s="1"/>
      <c r="D28" s="3"/>
      <c r="F28" s="205"/>
    </row>
    <row r="29" spans="1:6" x14ac:dyDescent="0.25">
      <c r="A29" s="125" t="s">
        <v>6</v>
      </c>
      <c r="B29" s="126">
        <v>3</v>
      </c>
      <c r="C29" s="222">
        <v>6</v>
      </c>
      <c r="D29" s="219">
        <f>C29/12</f>
        <v>0.5</v>
      </c>
      <c r="F29" s="205"/>
    </row>
    <row r="30" spans="1:6" x14ac:dyDescent="0.25">
      <c r="A30" s="127" t="s">
        <v>8</v>
      </c>
      <c r="B30" s="128">
        <v>15</v>
      </c>
      <c r="C30" s="223"/>
      <c r="D30" s="220"/>
      <c r="F30" s="205"/>
    </row>
    <row r="31" spans="1:6" x14ac:dyDescent="0.25">
      <c r="A31" s="127" t="s">
        <v>9</v>
      </c>
      <c r="B31" s="128">
        <f>B24*B29*B30</f>
        <v>4500</v>
      </c>
      <c r="C31" s="223"/>
      <c r="D31" s="220"/>
      <c r="F31" s="205"/>
    </row>
    <row r="32" spans="1:6" x14ac:dyDescent="0.25">
      <c r="A32" s="127" t="s">
        <v>10</v>
      </c>
      <c r="B32" s="129">
        <f>'SHEET A'!C31</f>
        <v>0.12</v>
      </c>
      <c r="C32" s="223"/>
      <c r="D32" s="220"/>
      <c r="F32" s="205"/>
    </row>
    <row r="33" spans="1:6" x14ac:dyDescent="0.25">
      <c r="A33" s="127" t="s">
        <v>163</v>
      </c>
      <c r="B33" s="128">
        <f>B31*0.05</f>
        <v>225</v>
      </c>
      <c r="C33" s="223"/>
      <c r="D33" s="220"/>
      <c r="F33" s="205"/>
    </row>
    <row r="34" spans="1:6" x14ac:dyDescent="0.25">
      <c r="A34" s="130" t="s">
        <v>11</v>
      </c>
      <c r="B34" s="131">
        <f>B33*B32</f>
        <v>27</v>
      </c>
      <c r="C34" s="223"/>
      <c r="D34" s="220"/>
      <c r="F34" s="205"/>
    </row>
    <row r="35" spans="1:6" x14ac:dyDescent="0.25">
      <c r="A35" s="130" t="s">
        <v>31</v>
      </c>
      <c r="B35" s="131">
        <f>('SHEET A'!C30*B31)</f>
        <v>4049.9999999999995</v>
      </c>
      <c r="C35" s="223"/>
      <c r="D35" s="220"/>
      <c r="F35" s="205"/>
    </row>
    <row r="36" spans="1:6" ht="15.75" thickBot="1" x14ac:dyDescent="0.3">
      <c r="A36" s="132" t="s">
        <v>24</v>
      </c>
      <c r="B36" s="133">
        <f>B34+B35</f>
        <v>4076.9999999999995</v>
      </c>
      <c r="C36" s="224"/>
      <c r="D36" s="221"/>
      <c r="F36" s="205"/>
    </row>
    <row r="37" spans="1:6" ht="15.75" thickBot="1" x14ac:dyDescent="0.3">
      <c r="A37" s="33" t="s">
        <v>97</v>
      </c>
      <c r="B37" s="1"/>
      <c r="D37" s="3"/>
      <c r="F37" s="205"/>
    </row>
    <row r="38" spans="1:6" x14ac:dyDescent="0.25">
      <c r="A38" s="34" t="s">
        <v>12</v>
      </c>
      <c r="B38" s="84">
        <f>'SHEET A'!C33</f>
        <v>0.06</v>
      </c>
      <c r="C38" s="228">
        <v>60</v>
      </c>
      <c r="D38" s="225">
        <f>C38/12</f>
        <v>5</v>
      </c>
      <c r="F38" s="205"/>
    </row>
    <row r="39" spans="1:6" x14ac:dyDescent="0.25">
      <c r="A39" s="35" t="s">
        <v>98</v>
      </c>
      <c r="B39" s="85">
        <f>'SHEET A'!C35</f>
        <v>3</v>
      </c>
      <c r="C39" s="229"/>
      <c r="D39" s="226"/>
      <c r="F39" s="205"/>
    </row>
    <row r="40" spans="1:6" x14ac:dyDescent="0.25">
      <c r="A40" s="35" t="s">
        <v>99</v>
      </c>
      <c r="B40" s="85">
        <f>'SHEET A'!C36</f>
        <v>0.06</v>
      </c>
      <c r="C40" s="229"/>
      <c r="D40" s="226"/>
      <c r="F40" s="205"/>
    </row>
    <row r="41" spans="1:6" x14ac:dyDescent="0.25">
      <c r="A41" s="64" t="s">
        <v>27</v>
      </c>
      <c r="B41" s="82">
        <f>B31*B38</f>
        <v>270</v>
      </c>
      <c r="C41" s="229"/>
      <c r="D41" s="226"/>
      <c r="F41" s="205"/>
    </row>
    <row r="42" spans="1:6" x14ac:dyDescent="0.25">
      <c r="A42" s="64" t="s">
        <v>28</v>
      </c>
      <c r="B42" s="82">
        <f>B31*B39</f>
        <v>13500</v>
      </c>
      <c r="C42" s="229"/>
      <c r="D42" s="226"/>
      <c r="F42" s="205"/>
    </row>
    <row r="43" spans="1:6" x14ac:dyDescent="0.25">
      <c r="A43" s="64" t="s">
        <v>29</v>
      </c>
      <c r="B43" s="82">
        <f>B31*B40</f>
        <v>270</v>
      </c>
      <c r="C43" s="229"/>
      <c r="D43" s="226"/>
      <c r="F43" s="205"/>
    </row>
    <row r="44" spans="1:6" ht="15.75" thickBot="1" x14ac:dyDescent="0.3">
      <c r="A44" s="36" t="s">
        <v>164</v>
      </c>
      <c r="B44" s="83">
        <f>B41+B42+B43</f>
        <v>14040</v>
      </c>
      <c r="C44" s="230"/>
      <c r="D44" s="227"/>
      <c r="F44" s="205"/>
    </row>
    <row r="45" spans="1:6" x14ac:dyDescent="0.25">
      <c r="A45" s="37" t="s">
        <v>141</v>
      </c>
      <c r="B45" s="86">
        <f>B27+B36+B44</f>
        <v>18477</v>
      </c>
      <c r="D45" s="38"/>
      <c r="F45" s="205"/>
    </row>
    <row r="46" spans="1:6" ht="15.75" thickBot="1" x14ac:dyDescent="0.3">
      <c r="A46" s="23" t="s">
        <v>100</v>
      </c>
      <c r="B46" s="1"/>
      <c r="C46" s="15"/>
      <c r="D46" s="15"/>
      <c r="F46" s="205"/>
    </row>
    <row r="47" spans="1:6" x14ac:dyDescent="0.25">
      <c r="A47" s="24" t="s">
        <v>86</v>
      </c>
      <c r="B47" s="111">
        <v>100</v>
      </c>
      <c r="C47" s="213">
        <v>24</v>
      </c>
      <c r="D47" s="216">
        <f>C47/12</f>
        <v>2</v>
      </c>
      <c r="F47" s="205"/>
    </row>
    <row r="48" spans="1:6" x14ac:dyDescent="0.25">
      <c r="A48" s="25" t="s">
        <v>88</v>
      </c>
      <c r="B48" s="26">
        <v>500</v>
      </c>
      <c r="C48" s="214"/>
      <c r="D48" s="217"/>
      <c r="F48" s="205"/>
    </row>
    <row r="49" spans="1:6" x14ac:dyDescent="0.25">
      <c r="A49" s="118" t="s">
        <v>87</v>
      </c>
      <c r="B49" s="143">
        <f>'SHEET A'!C7*B47</f>
        <v>120</v>
      </c>
      <c r="C49" s="214"/>
      <c r="D49" s="217"/>
      <c r="F49" s="205"/>
    </row>
    <row r="50" spans="1:6" x14ac:dyDescent="0.25">
      <c r="A50" s="118" t="s">
        <v>159</v>
      </c>
      <c r="B50" s="143">
        <f>'SHEET A'!C10*B48</f>
        <v>899.99999999999989</v>
      </c>
      <c r="C50" s="214"/>
      <c r="D50" s="217"/>
      <c r="F50" s="205"/>
    </row>
    <row r="51" spans="1:6" x14ac:dyDescent="0.25">
      <c r="A51" s="118" t="s">
        <v>158</v>
      </c>
      <c r="B51" s="143">
        <f>'SHEET A'!C6*B48</f>
        <v>150</v>
      </c>
      <c r="C51" s="214"/>
      <c r="D51" s="217"/>
      <c r="F51" s="205"/>
    </row>
    <row r="52" spans="1:6" x14ac:dyDescent="0.25">
      <c r="A52" s="118" t="s">
        <v>160</v>
      </c>
      <c r="B52" s="143">
        <f>'SHEET A'!C9*B48</f>
        <v>899.99999999999989</v>
      </c>
      <c r="C52" s="214"/>
      <c r="D52" s="217"/>
      <c r="F52" s="205"/>
    </row>
    <row r="53" spans="1:6" ht="15.75" thickBot="1" x14ac:dyDescent="0.3">
      <c r="A53" s="27" t="s">
        <v>161</v>
      </c>
      <c r="B53" s="80">
        <f>B49+B50+B51+B52</f>
        <v>2070</v>
      </c>
      <c r="C53" s="215"/>
      <c r="D53" s="218"/>
      <c r="F53" s="205"/>
    </row>
    <row r="54" spans="1:6" ht="15.75" thickBot="1" x14ac:dyDescent="0.3">
      <c r="A54" s="138" t="s">
        <v>94</v>
      </c>
      <c r="B54" s="1"/>
      <c r="D54" s="3"/>
      <c r="F54" s="205"/>
    </row>
    <row r="55" spans="1:6" x14ac:dyDescent="0.25">
      <c r="A55" s="134" t="s">
        <v>162</v>
      </c>
      <c r="B55" s="135">
        <v>200</v>
      </c>
      <c r="C55" s="207">
        <v>60</v>
      </c>
      <c r="D55" s="210">
        <f>C55/12</f>
        <v>5</v>
      </c>
      <c r="F55" s="205"/>
    </row>
    <row r="56" spans="1:6" x14ac:dyDescent="0.25">
      <c r="A56" s="144" t="s">
        <v>153</v>
      </c>
      <c r="B56" s="139">
        <f>'SHEET A'!C26*B55</f>
        <v>84</v>
      </c>
      <c r="C56" s="208"/>
      <c r="D56" s="211"/>
      <c r="F56" s="205"/>
    </row>
    <row r="57" spans="1:6" x14ac:dyDescent="0.25">
      <c r="A57" s="144" t="s">
        <v>152</v>
      </c>
      <c r="B57" s="139">
        <f>'SHEET A'!C27*B55*5</f>
        <v>1799.9999999999998</v>
      </c>
      <c r="C57" s="208"/>
      <c r="D57" s="211"/>
      <c r="F57" s="205"/>
    </row>
    <row r="58" spans="1:6" ht="15.75" thickBot="1" x14ac:dyDescent="0.3">
      <c r="A58" s="136" t="s">
        <v>130</v>
      </c>
      <c r="B58" s="137">
        <f>B56+B57</f>
        <v>1883.9999999999998</v>
      </c>
      <c r="C58" s="209"/>
      <c r="D58" s="212"/>
      <c r="F58" s="206"/>
    </row>
    <row r="59" spans="1:6" x14ac:dyDescent="0.25">
      <c r="A59" s="37" t="s">
        <v>33</v>
      </c>
      <c r="B59" s="86">
        <f>+B53+B58</f>
        <v>3954</v>
      </c>
      <c r="C59" s="11"/>
      <c r="D59" s="11"/>
    </row>
    <row r="60" spans="1:6" ht="15.75" thickBot="1" x14ac:dyDescent="0.3">
      <c r="A60" s="23" t="s">
        <v>128</v>
      </c>
      <c r="B60" s="1"/>
      <c r="C60" s="15"/>
      <c r="D60" s="15"/>
    </row>
    <row r="61" spans="1:6" x14ac:dyDescent="0.25">
      <c r="A61" s="24" t="s">
        <v>37</v>
      </c>
      <c r="B61" s="81">
        <f>'SHEET A'!C12</f>
        <v>0.06</v>
      </c>
      <c r="C61" s="213">
        <v>6</v>
      </c>
      <c r="D61" s="216">
        <f>C61/12</f>
        <v>0.5</v>
      </c>
    </row>
    <row r="62" spans="1:6" x14ac:dyDescent="0.25">
      <c r="A62" s="25" t="s">
        <v>30</v>
      </c>
      <c r="B62" s="26">
        <v>100</v>
      </c>
      <c r="C62" s="214"/>
      <c r="D62" s="217"/>
    </row>
    <row r="63" spans="1:6" x14ac:dyDescent="0.25">
      <c r="A63" s="25" t="s">
        <v>220</v>
      </c>
      <c r="B63" s="26">
        <v>60</v>
      </c>
      <c r="C63" s="214"/>
      <c r="D63" s="217"/>
    </row>
    <row r="64" spans="1:6" x14ac:dyDescent="0.25">
      <c r="A64" s="25" t="s">
        <v>221</v>
      </c>
      <c r="B64" s="26">
        <f>B62*B63</f>
        <v>6000</v>
      </c>
      <c r="C64" s="214"/>
      <c r="D64" s="217"/>
    </row>
    <row r="65" spans="1:4" ht="15.75" thickBot="1" x14ac:dyDescent="0.3">
      <c r="A65" s="27" t="s">
        <v>23</v>
      </c>
      <c r="B65" s="80">
        <f>B61*B64</f>
        <v>360</v>
      </c>
      <c r="C65" s="215"/>
      <c r="D65" s="218"/>
    </row>
    <row r="66" spans="1:4" x14ac:dyDescent="0.25">
      <c r="A66" s="37" t="s">
        <v>33</v>
      </c>
      <c r="B66" s="86">
        <f>+B65</f>
        <v>360</v>
      </c>
      <c r="C66" s="11"/>
      <c r="D66" s="11"/>
    </row>
    <row r="67" spans="1:4" ht="18.75" x14ac:dyDescent="0.25">
      <c r="A67" s="40" t="s">
        <v>105</v>
      </c>
      <c r="B67" s="119">
        <f>B7+B21+B45+B59+B66</f>
        <v>35925</v>
      </c>
      <c r="C67" s="41">
        <f>SUM(C9:C65)</f>
        <v>246</v>
      </c>
      <c r="D67" s="41">
        <f>C67/12</f>
        <v>20.5</v>
      </c>
    </row>
    <row r="68" spans="1:4" ht="18.75" x14ac:dyDescent="0.25">
      <c r="D68" s="41" t="s">
        <v>1</v>
      </c>
    </row>
    <row r="69" spans="1:4" x14ac:dyDescent="0.25">
      <c r="B69" s="87"/>
    </row>
  </sheetData>
  <mergeCells count="21">
    <mergeCell ref="C17:C20"/>
    <mergeCell ref="D17:D20"/>
    <mergeCell ref="C3:C6"/>
    <mergeCell ref="D3:D6"/>
    <mergeCell ref="F3:F6"/>
    <mergeCell ref="F8:F20"/>
    <mergeCell ref="D9:D15"/>
    <mergeCell ref="C9:C15"/>
    <mergeCell ref="F23:F58"/>
    <mergeCell ref="C55:C58"/>
    <mergeCell ref="D55:D58"/>
    <mergeCell ref="C61:C65"/>
    <mergeCell ref="D61:D65"/>
    <mergeCell ref="D29:D36"/>
    <mergeCell ref="C29:C36"/>
    <mergeCell ref="C47:C53"/>
    <mergeCell ref="D47:D53"/>
    <mergeCell ref="D38:D44"/>
    <mergeCell ref="C38:C44"/>
    <mergeCell ref="C23:C27"/>
    <mergeCell ref="D23:D27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42"/>
  <sheetViews>
    <sheetView showGridLines="0" zoomScale="130" zoomScaleNormal="130" workbookViewId="0">
      <pane ySplit="1" topLeftCell="A116" activePane="bottomLeft" state="frozen"/>
      <selection pane="bottomLeft" activeCell="B135" sqref="B135"/>
    </sheetView>
  </sheetViews>
  <sheetFormatPr defaultRowHeight="15" x14ac:dyDescent="0.25"/>
  <cols>
    <col min="1" max="1" width="122.7109375" style="42" bestFit="1" customWidth="1"/>
    <col min="2" max="2" width="22.7109375" style="42" bestFit="1" customWidth="1"/>
    <col min="3" max="3" width="12.28515625" style="44" bestFit="1" customWidth="1"/>
    <col min="4" max="4" width="8.5703125" style="39" bestFit="1" customWidth="1"/>
    <col min="5" max="5" width="9.140625" style="7"/>
    <col min="6" max="6" width="30.85546875" style="7" bestFit="1" customWidth="1"/>
    <col min="7" max="7" width="19.5703125" style="7" bestFit="1" customWidth="1"/>
    <col min="8" max="8" width="9.140625" style="7"/>
    <col min="9" max="9" width="9.140625" style="16"/>
    <col min="10" max="16384" width="9.140625" style="7"/>
  </cols>
  <sheetData>
    <row r="1" spans="1:9" ht="18.75" x14ac:dyDescent="0.25">
      <c r="A1" s="75" t="s">
        <v>101</v>
      </c>
      <c r="B1" s="76" t="s">
        <v>3</v>
      </c>
      <c r="C1" s="77" t="s">
        <v>2</v>
      </c>
      <c r="D1" s="77" t="s">
        <v>1</v>
      </c>
      <c r="I1" s="7"/>
    </row>
    <row r="2" spans="1:9" ht="15.75" thickBot="1" x14ac:dyDescent="0.3">
      <c r="A2" s="17" t="s">
        <v>113</v>
      </c>
      <c r="B2" s="7"/>
      <c r="C2" s="15"/>
      <c r="D2" s="15"/>
    </row>
    <row r="3" spans="1:9" x14ac:dyDescent="0.25">
      <c r="A3" s="18" t="s">
        <v>238</v>
      </c>
      <c r="B3" s="19">
        <v>3000</v>
      </c>
      <c r="C3" s="231">
        <v>0</v>
      </c>
      <c r="D3" s="234">
        <v>0</v>
      </c>
      <c r="F3" s="247" t="s">
        <v>165</v>
      </c>
    </row>
    <row r="4" spans="1:9" x14ac:dyDescent="0.25">
      <c r="A4" s="53" t="s">
        <v>26</v>
      </c>
      <c r="B4" s="94">
        <f>'SHEET A'!C35</f>
        <v>3</v>
      </c>
      <c r="C4" s="232"/>
      <c r="D4" s="235"/>
      <c r="F4" s="248"/>
    </row>
    <row r="5" spans="1:9" x14ac:dyDescent="0.25">
      <c r="A5" s="53" t="s">
        <v>25</v>
      </c>
      <c r="B5" s="94">
        <f>'SHEET A'!C36</f>
        <v>0.06</v>
      </c>
      <c r="C5" s="232"/>
      <c r="D5" s="235"/>
      <c r="F5" s="248"/>
    </row>
    <row r="6" spans="1:9" x14ac:dyDescent="0.25">
      <c r="A6" s="20" t="s">
        <v>4</v>
      </c>
      <c r="B6" s="88">
        <f>'SHEET A'!C15</f>
        <v>24</v>
      </c>
      <c r="C6" s="232"/>
      <c r="D6" s="235"/>
      <c r="F6" s="248"/>
    </row>
    <row r="7" spans="1:9" x14ac:dyDescent="0.25">
      <c r="A7" s="21" t="s">
        <v>38</v>
      </c>
      <c r="B7" s="89">
        <f>B3*B6</f>
        <v>72000</v>
      </c>
      <c r="C7" s="232"/>
      <c r="D7" s="235"/>
      <c r="F7" s="248"/>
    </row>
    <row r="8" spans="1:9" ht="15.75" thickBot="1" x14ac:dyDescent="0.3">
      <c r="A8" s="22" t="s">
        <v>39</v>
      </c>
      <c r="B8" s="142">
        <f>B3*(B4+B5)</f>
        <v>9180</v>
      </c>
      <c r="C8" s="233"/>
      <c r="D8" s="236"/>
      <c r="F8" s="249"/>
    </row>
    <row r="9" spans="1:9" ht="15.75" thickBot="1" x14ac:dyDescent="0.3">
      <c r="A9" s="140" t="s">
        <v>49</v>
      </c>
      <c r="B9" s="141">
        <f>B7+B8</f>
        <v>81180</v>
      </c>
      <c r="C9" s="7"/>
      <c r="D9" s="7"/>
    </row>
    <row r="10" spans="1:9" ht="15.75" thickBot="1" x14ac:dyDescent="0.3">
      <c r="A10" s="23" t="s">
        <v>102</v>
      </c>
      <c r="B10" s="1"/>
      <c r="C10" s="15"/>
      <c r="D10" s="15"/>
    </row>
    <row r="11" spans="1:9" x14ac:dyDescent="0.25">
      <c r="A11" s="24" t="s">
        <v>86</v>
      </c>
      <c r="B11" s="111">
        <v>100</v>
      </c>
      <c r="C11" s="213">
        <v>24</v>
      </c>
      <c r="D11" s="216">
        <f>C11/12</f>
        <v>2</v>
      </c>
      <c r="F11" s="247" t="s">
        <v>166</v>
      </c>
    </row>
    <row r="12" spans="1:9" x14ac:dyDescent="0.25">
      <c r="A12" s="25" t="s">
        <v>88</v>
      </c>
      <c r="B12" s="26">
        <v>500</v>
      </c>
      <c r="C12" s="214"/>
      <c r="D12" s="217"/>
      <c r="F12" s="248"/>
    </row>
    <row r="13" spans="1:9" x14ac:dyDescent="0.25">
      <c r="A13" s="118" t="s">
        <v>87</v>
      </c>
      <c r="B13" s="143">
        <f>'SHEET A'!C7*B11</f>
        <v>120</v>
      </c>
      <c r="C13" s="214"/>
      <c r="D13" s="217"/>
      <c r="F13" s="248"/>
    </row>
    <row r="14" spans="1:9" x14ac:dyDescent="0.25">
      <c r="A14" s="118" t="s">
        <v>159</v>
      </c>
      <c r="B14" s="143">
        <f>'SHEET A'!C10*B12</f>
        <v>899.99999999999989</v>
      </c>
      <c r="C14" s="214"/>
      <c r="D14" s="217"/>
      <c r="F14" s="248"/>
    </row>
    <row r="15" spans="1:9" x14ac:dyDescent="0.25">
      <c r="A15" s="118" t="s">
        <v>158</v>
      </c>
      <c r="B15" s="143">
        <f>'SHEET A'!C6*B12</f>
        <v>150</v>
      </c>
      <c r="C15" s="214"/>
      <c r="D15" s="217"/>
      <c r="F15" s="248"/>
    </row>
    <row r="16" spans="1:9" x14ac:dyDescent="0.25">
      <c r="A16" s="118" t="s">
        <v>160</v>
      </c>
      <c r="B16" s="143">
        <f>+'SHEET A'!C9*B12</f>
        <v>899.99999999999989</v>
      </c>
      <c r="C16" s="214"/>
      <c r="D16" s="217"/>
      <c r="F16" s="248"/>
    </row>
    <row r="17" spans="1:9" ht="15.75" thickBot="1" x14ac:dyDescent="0.3">
      <c r="A17" s="27" t="s">
        <v>218</v>
      </c>
      <c r="B17" s="80">
        <f>+B13+B14+B15+B16</f>
        <v>2070</v>
      </c>
      <c r="C17" s="215"/>
      <c r="D17" s="218"/>
      <c r="F17" s="248"/>
    </row>
    <row r="18" spans="1:9" ht="15.75" thickBot="1" x14ac:dyDescent="0.3">
      <c r="A18" s="138" t="s">
        <v>94</v>
      </c>
      <c r="B18" s="1"/>
      <c r="C18" s="2"/>
      <c r="D18" s="3"/>
      <c r="F18" s="248"/>
    </row>
    <row r="19" spans="1:9" x14ac:dyDescent="0.25">
      <c r="A19" s="134" t="s">
        <v>219</v>
      </c>
      <c r="B19" s="135">
        <v>200</v>
      </c>
      <c r="C19" s="207">
        <v>60</v>
      </c>
      <c r="D19" s="210">
        <f>C19/12</f>
        <v>5</v>
      </c>
      <c r="F19" s="248"/>
    </row>
    <row r="20" spans="1:9" x14ac:dyDescent="0.25">
      <c r="A20" s="144" t="s">
        <v>153</v>
      </c>
      <c r="B20" s="139">
        <f>'SHEET A'!C26*B19</f>
        <v>84</v>
      </c>
      <c r="C20" s="208"/>
      <c r="D20" s="211"/>
      <c r="F20" s="248"/>
    </row>
    <row r="21" spans="1:9" x14ac:dyDescent="0.25">
      <c r="A21" s="144" t="s">
        <v>152</v>
      </c>
      <c r="B21" s="139">
        <f>'SHEET A'!C27*'SHEET C'!B19*5</f>
        <v>1799.9999999999998</v>
      </c>
      <c r="C21" s="208"/>
      <c r="D21" s="211"/>
      <c r="F21" s="248"/>
    </row>
    <row r="22" spans="1:9" ht="14.25" customHeight="1" x14ac:dyDescent="0.25">
      <c r="A22" s="170" t="s">
        <v>286</v>
      </c>
      <c r="B22" s="172">
        <v>100</v>
      </c>
      <c r="C22" s="208"/>
      <c r="D22" s="211"/>
      <c r="F22" s="248"/>
      <c r="I22" s="7"/>
    </row>
    <row r="23" spans="1:9" ht="14.25" customHeight="1" x14ac:dyDescent="0.25">
      <c r="A23" s="170" t="s">
        <v>287</v>
      </c>
      <c r="B23" s="173">
        <f>'SHEET A'!C23</f>
        <v>1.7999999999999998</v>
      </c>
      <c r="C23" s="208"/>
      <c r="D23" s="211"/>
      <c r="F23" s="248"/>
      <c r="I23" s="7"/>
    </row>
    <row r="24" spans="1:9" ht="14.25" customHeight="1" x14ac:dyDescent="0.25">
      <c r="A24" s="144" t="s">
        <v>288</v>
      </c>
      <c r="B24" s="174">
        <f>B22*B23</f>
        <v>179.99999999999997</v>
      </c>
      <c r="C24" s="208"/>
      <c r="D24" s="211"/>
      <c r="F24" s="248"/>
      <c r="I24" s="7"/>
    </row>
    <row r="25" spans="1:9" ht="15.75" thickBot="1" x14ac:dyDescent="0.3">
      <c r="A25" s="136" t="s">
        <v>130</v>
      </c>
      <c r="B25" s="137">
        <f>B20+B21+B24</f>
        <v>2063.9999999999995</v>
      </c>
      <c r="C25" s="209"/>
      <c r="D25" s="212"/>
      <c r="F25" s="249"/>
    </row>
    <row r="26" spans="1:9" ht="15.75" thickBot="1" x14ac:dyDescent="0.3">
      <c r="A26" s="115" t="s">
        <v>109</v>
      </c>
      <c r="B26" s="116">
        <f>+B17+B25</f>
        <v>4134</v>
      </c>
      <c r="C26" s="7"/>
      <c r="D26" s="7"/>
    </row>
    <row r="27" spans="1:9" ht="15.75" thickBot="1" x14ac:dyDescent="0.3">
      <c r="A27" s="23" t="s">
        <v>95</v>
      </c>
      <c r="B27" s="1"/>
      <c r="C27" s="15"/>
      <c r="D27" s="15"/>
    </row>
    <row r="28" spans="1:9" x14ac:dyDescent="0.25">
      <c r="A28" s="24" t="s">
        <v>37</v>
      </c>
      <c r="B28" s="90">
        <f>'SHEET A'!C12</f>
        <v>0.06</v>
      </c>
      <c r="C28" s="213">
        <v>6</v>
      </c>
      <c r="D28" s="216">
        <f>C28/12</f>
        <v>0.5</v>
      </c>
      <c r="F28" s="247" t="s">
        <v>167</v>
      </c>
    </row>
    <row r="29" spans="1:9" x14ac:dyDescent="0.25">
      <c r="A29" s="25" t="s">
        <v>30</v>
      </c>
      <c r="B29" s="26">
        <v>100</v>
      </c>
      <c r="C29" s="214"/>
      <c r="D29" s="217"/>
      <c r="F29" s="248"/>
    </row>
    <row r="30" spans="1:9" x14ac:dyDescent="0.25">
      <c r="A30" s="25" t="s">
        <v>170</v>
      </c>
      <c r="B30" s="26">
        <v>30</v>
      </c>
      <c r="C30" s="214"/>
      <c r="D30" s="217"/>
      <c r="F30" s="248"/>
    </row>
    <row r="31" spans="1:9" x14ac:dyDescent="0.25">
      <c r="A31" s="25" t="s">
        <v>227</v>
      </c>
      <c r="B31" s="26">
        <f>B29*B30</f>
        <v>3000</v>
      </c>
      <c r="C31" s="214"/>
      <c r="D31" s="217"/>
      <c r="F31" s="248"/>
    </row>
    <row r="32" spans="1:9" ht="15.75" thickBot="1" x14ac:dyDescent="0.3">
      <c r="A32" s="27" t="s">
        <v>23</v>
      </c>
      <c r="B32" s="91">
        <f>B28*B31</f>
        <v>180</v>
      </c>
      <c r="C32" s="215"/>
      <c r="D32" s="218"/>
      <c r="F32" s="248"/>
    </row>
    <row r="33" spans="1:6" ht="15.75" thickBot="1" x14ac:dyDescent="0.3">
      <c r="A33" s="23" t="s">
        <v>34</v>
      </c>
      <c r="B33" s="12"/>
      <c r="C33" s="28"/>
      <c r="D33" s="28"/>
      <c r="F33" s="248"/>
    </row>
    <row r="34" spans="1:6" x14ac:dyDescent="0.25">
      <c r="A34" s="24" t="s">
        <v>115</v>
      </c>
      <c r="B34" s="111">
        <v>100</v>
      </c>
      <c r="C34" s="213">
        <v>6</v>
      </c>
      <c r="D34" s="216">
        <f>C34/12</f>
        <v>0.5</v>
      </c>
      <c r="F34" s="248"/>
    </row>
    <row r="35" spans="1:6" x14ac:dyDescent="0.25">
      <c r="A35" s="25" t="s">
        <v>224</v>
      </c>
      <c r="B35" s="26">
        <v>20</v>
      </c>
      <c r="C35" s="214"/>
      <c r="D35" s="217"/>
      <c r="F35" s="248"/>
    </row>
    <row r="36" spans="1:6" x14ac:dyDescent="0.25">
      <c r="A36" s="25" t="s">
        <v>13</v>
      </c>
      <c r="B36" s="112">
        <f>'SHEET A'!C15</f>
        <v>24</v>
      </c>
      <c r="C36" s="214"/>
      <c r="D36" s="217"/>
      <c r="F36" s="248"/>
    </row>
    <row r="37" spans="1:6" x14ac:dyDescent="0.25">
      <c r="A37" s="25" t="s">
        <v>117</v>
      </c>
      <c r="B37" s="113">
        <f>B34*B36*B35</f>
        <v>48000</v>
      </c>
      <c r="C37" s="214"/>
      <c r="D37" s="217"/>
      <c r="F37" s="248"/>
    </row>
    <row r="38" spans="1:6" x14ac:dyDescent="0.25">
      <c r="A38" s="25" t="s">
        <v>118</v>
      </c>
      <c r="B38" s="26">
        <v>100</v>
      </c>
      <c r="C38" s="214"/>
      <c r="D38" s="217"/>
      <c r="F38" s="248"/>
    </row>
    <row r="39" spans="1:6" x14ac:dyDescent="0.25">
      <c r="A39" s="118" t="s">
        <v>217</v>
      </c>
      <c r="B39" s="117">
        <f>(B35*B29)</f>
        <v>2000</v>
      </c>
      <c r="C39" s="214"/>
      <c r="D39" s="217"/>
      <c r="F39" s="248"/>
    </row>
    <row r="40" spans="1:6" ht="15.75" thickBot="1" x14ac:dyDescent="0.3">
      <c r="A40" s="27" t="s">
        <v>225</v>
      </c>
      <c r="B40" s="91">
        <f>'SHEET A'!C32*B39</f>
        <v>960</v>
      </c>
      <c r="C40" s="110"/>
      <c r="D40" s="109"/>
      <c r="F40" s="248"/>
    </row>
    <row r="41" spans="1:6" ht="15.75" thickBot="1" x14ac:dyDescent="0.3">
      <c r="A41" s="23" t="s">
        <v>79</v>
      </c>
      <c r="B41" s="12"/>
      <c r="C41" s="28"/>
      <c r="D41" s="28"/>
      <c r="F41" s="248"/>
    </row>
    <row r="42" spans="1:6" x14ac:dyDescent="0.25">
      <c r="A42" s="24" t="s">
        <v>35</v>
      </c>
      <c r="B42" s="111">
        <v>100</v>
      </c>
      <c r="C42" s="213">
        <v>12</v>
      </c>
      <c r="D42" s="216">
        <f>C42/12</f>
        <v>1</v>
      </c>
      <c r="F42" s="248"/>
    </row>
    <row r="43" spans="1:6" x14ac:dyDescent="0.25">
      <c r="A43" s="25" t="s">
        <v>80</v>
      </c>
      <c r="B43" s="114">
        <f>'SHEET A'!C13</f>
        <v>0.15</v>
      </c>
      <c r="C43" s="214"/>
      <c r="D43" s="217"/>
      <c r="F43" s="248"/>
    </row>
    <row r="44" spans="1:6" x14ac:dyDescent="0.25">
      <c r="A44" s="25" t="s">
        <v>226</v>
      </c>
      <c r="B44" s="26">
        <v>5</v>
      </c>
      <c r="C44" s="214"/>
      <c r="D44" s="217"/>
      <c r="F44" s="248"/>
    </row>
    <row r="45" spans="1:6" ht="15.75" thickBot="1" x14ac:dyDescent="0.3">
      <c r="A45" s="27" t="s">
        <v>81</v>
      </c>
      <c r="B45" s="91">
        <f>(B42*B43)*B44</f>
        <v>75</v>
      </c>
      <c r="C45" s="215"/>
      <c r="D45" s="218"/>
      <c r="F45" s="248"/>
    </row>
    <row r="46" spans="1:6" ht="15.75" thickBot="1" x14ac:dyDescent="0.3">
      <c r="A46" s="115" t="s">
        <v>137</v>
      </c>
      <c r="B46" s="116">
        <f>+B32+B37+B40+B45</f>
        <v>49215</v>
      </c>
      <c r="C46" s="103"/>
      <c r="D46" s="38"/>
      <c r="F46" s="248"/>
    </row>
    <row r="47" spans="1:6" ht="15.75" thickBot="1" x14ac:dyDescent="0.3">
      <c r="A47" s="138" t="s">
        <v>103</v>
      </c>
      <c r="B47" s="1"/>
      <c r="C47" s="2"/>
      <c r="D47" s="3"/>
      <c r="F47" s="248"/>
    </row>
    <row r="48" spans="1:6" x14ac:dyDescent="0.25">
      <c r="A48" s="134" t="s">
        <v>219</v>
      </c>
      <c r="B48" s="135">
        <v>200</v>
      </c>
      <c r="C48" s="207">
        <v>60</v>
      </c>
      <c r="D48" s="210">
        <f>C48/12</f>
        <v>5</v>
      </c>
      <c r="F48" s="248"/>
    </row>
    <row r="49" spans="1:6" x14ac:dyDescent="0.25">
      <c r="A49" s="144" t="s">
        <v>234</v>
      </c>
      <c r="B49" s="139">
        <f>'SHEET A'!C26*(B48)</f>
        <v>84</v>
      </c>
      <c r="C49" s="208"/>
      <c r="D49" s="211"/>
      <c r="F49" s="248"/>
    </row>
    <row r="50" spans="1:6" x14ac:dyDescent="0.25">
      <c r="A50" s="144" t="s">
        <v>235</v>
      </c>
      <c r="B50" s="139">
        <f>'SHEET A'!C27*(B48)*5</f>
        <v>1799.9999999999998</v>
      </c>
      <c r="C50" s="208"/>
      <c r="D50" s="211"/>
      <c r="F50" s="248"/>
    </row>
    <row r="51" spans="1:6" x14ac:dyDescent="0.25">
      <c r="A51" s="170" t="s">
        <v>286</v>
      </c>
      <c r="B51" s="172">
        <v>100</v>
      </c>
      <c r="C51" s="208"/>
      <c r="D51" s="211"/>
      <c r="F51" s="248"/>
    </row>
    <row r="52" spans="1:6" x14ac:dyDescent="0.25">
      <c r="A52" s="170" t="s">
        <v>287</v>
      </c>
      <c r="B52" s="173">
        <f>'SHEET A'!C23</f>
        <v>1.7999999999999998</v>
      </c>
      <c r="C52" s="208"/>
      <c r="D52" s="211"/>
      <c r="F52" s="248"/>
    </row>
    <row r="53" spans="1:6" x14ac:dyDescent="0.25">
      <c r="A53" s="144" t="s">
        <v>288</v>
      </c>
      <c r="B53" s="174">
        <f>B51*B52</f>
        <v>179.99999999999997</v>
      </c>
      <c r="C53" s="208"/>
      <c r="D53" s="211"/>
      <c r="F53" s="248"/>
    </row>
    <row r="54" spans="1:6" ht="15.75" thickBot="1" x14ac:dyDescent="0.3">
      <c r="A54" s="136" t="s">
        <v>130</v>
      </c>
      <c r="B54" s="137">
        <f>B49+B50+B53</f>
        <v>2063.9999999999995</v>
      </c>
      <c r="C54" s="209"/>
      <c r="D54" s="212"/>
      <c r="F54" s="249"/>
    </row>
    <row r="55" spans="1:6" ht="15.75" thickBot="1" x14ac:dyDescent="0.3">
      <c r="A55" s="115" t="s">
        <v>137</v>
      </c>
      <c r="B55" s="116">
        <f>+B32+B37+B40+B45+B54</f>
        <v>51279</v>
      </c>
      <c r="C55" s="103"/>
      <c r="D55" s="38"/>
    </row>
    <row r="56" spans="1:6" ht="15.75" thickBot="1" x14ac:dyDescent="0.3">
      <c r="A56" s="23" t="s">
        <v>73</v>
      </c>
      <c r="B56" s="97"/>
      <c r="C56" s="15"/>
      <c r="D56" s="15"/>
    </row>
    <row r="57" spans="1:6" x14ac:dyDescent="0.25">
      <c r="A57" s="24" t="s">
        <v>37</v>
      </c>
      <c r="B57" s="90">
        <f>'SHEET A'!C12</f>
        <v>0.06</v>
      </c>
      <c r="C57" s="213">
        <v>6</v>
      </c>
      <c r="D57" s="216">
        <f>C57/12</f>
        <v>0.5</v>
      </c>
      <c r="F57" s="247" t="s">
        <v>168</v>
      </c>
    </row>
    <row r="58" spans="1:6" x14ac:dyDescent="0.25">
      <c r="A58" s="25" t="s">
        <v>30</v>
      </c>
      <c r="B58" s="26">
        <v>100</v>
      </c>
      <c r="C58" s="214"/>
      <c r="D58" s="217"/>
      <c r="F58" s="248"/>
    </row>
    <row r="59" spans="1:6" x14ac:dyDescent="0.25">
      <c r="A59" s="25" t="s">
        <v>170</v>
      </c>
      <c r="B59" s="26">
        <v>30</v>
      </c>
      <c r="C59" s="214"/>
      <c r="D59" s="217"/>
      <c r="F59" s="248"/>
    </row>
    <row r="60" spans="1:6" x14ac:dyDescent="0.25">
      <c r="A60" s="25" t="s">
        <v>227</v>
      </c>
      <c r="B60" s="26">
        <f>B58*B59</f>
        <v>3000</v>
      </c>
      <c r="C60" s="214"/>
      <c r="D60" s="217"/>
      <c r="F60" s="248"/>
    </row>
    <row r="61" spans="1:6" ht="15.75" thickBot="1" x14ac:dyDescent="0.3">
      <c r="A61" s="27" t="s">
        <v>23</v>
      </c>
      <c r="B61" s="91">
        <f>B57*B60</f>
        <v>180</v>
      </c>
      <c r="C61" s="215"/>
      <c r="D61" s="218"/>
      <c r="F61" s="248"/>
    </row>
    <row r="62" spans="1:6" ht="15.75" thickBot="1" x14ac:dyDescent="0.3">
      <c r="A62" s="23" t="s">
        <v>74</v>
      </c>
      <c r="B62" s="12"/>
      <c r="C62" s="28"/>
      <c r="D62" s="28"/>
      <c r="F62" s="248"/>
    </row>
    <row r="63" spans="1:6" x14ac:dyDescent="0.25">
      <c r="A63" s="24" t="s">
        <v>132</v>
      </c>
      <c r="B63" s="111">
        <v>100</v>
      </c>
      <c r="C63" s="213">
        <v>6</v>
      </c>
      <c r="D63" s="216">
        <f>C63/12</f>
        <v>0.5</v>
      </c>
      <c r="F63" s="248"/>
    </row>
    <row r="64" spans="1:6" x14ac:dyDescent="0.25">
      <c r="A64" s="25" t="s">
        <v>228</v>
      </c>
      <c r="B64" s="26">
        <v>20</v>
      </c>
      <c r="C64" s="214"/>
      <c r="D64" s="217"/>
      <c r="F64" s="248"/>
    </row>
    <row r="65" spans="1:6" x14ac:dyDescent="0.25">
      <c r="A65" s="25" t="s">
        <v>13</v>
      </c>
      <c r="B65" s="112">
        <f>'SHEET A'!C15</f>
        <v>24</v>
      </c>
      <c r="C65" s="214"/>
      <c r="D65" s="217"/>
      <c r="F65" s="248"/>
    </row>
    <row r="66" spans="1:6" x14ac:dyDescent="0.25">
      <c r="A66" s="25" t="s">
        <v>117</v>
      </c>
      <c r="B66" s="113">
        <f>B63*B65*B64</f>
        <v>48000</v>
      </c>
      <c r="C66" s="214"/>
      <c r="D66" s="217"/>
      <c r="F66" s="248"/>
    </row>
    <row r="67" spans="1:6" x14ac:dyDescent="0.25">
      <c r="A67" s="25" t="s">
        <v>118</v>
      </c>
      <c r="B67" s="26">
        <v>100</v>
      </c>
      <c r="C67" s="214"/>
      <c r="D67" s="217"/>
      <c r="F67" s="248"/>
    </row>
    <row r="68" spans="1:6" x14ac:dyDescent="0.25">
      <c r="A68" s="118" t="s">
        <v>217</v>
      </c>
      <c r="B68" s="117">
        <f>(B64*B58)</f>
        <v>2000</v>
      </c>
      <c r="C68" s="214"/>
      <c r="D68" s="217"/>
      <c r="F68" s="248"/>
    </row>
    <row r="69" spans="1:6" ht="15.75" thickBot="1" x14ac:dyDescent="0.3">
      <c r="A69" s="27" t="s">
        <v>225</v>
      </c>
      <c r="B69" s="91">
        <f>'SHEET A'!C32*B68</f>
        <v>960</v>
      </c>
      <c r="C69" s="168"/>
      <c r="D69" s="169"/>
      <c r="F69" s="248"/>
    </row>
    <row r="70" spans="1:6" ht="15.75" thickBot="1" x14ac:dyDescent="0.3">
      <c r="A70" s="23" t="s">
        <v>75</v>
      </c>
      <c r="B70" s="12"/>
      <c r="C70" s="28"/>
      <c r="D70" s="28"/>
      <c r="F70" s="248"/>
    </row>
    <row r="71" spans="1:6" x14ac:dyDescent="0.25">
      <c r="A71" s="24" t="s">
        <v>35</v>
      </c>
      <c r="B71" s="111">
        <v>100</v>
      </c>
      <c r="C71" s="213">
        <v>12</v>
      </c>
      <c r="D71" s="216">
        <f>C71/12</f>
        <v>1</v>
      </c>
      <c r="F71" s="248"/>
    </row>
    <row r="72" spans="1:6" x14ac:dyDescent="0.25">
      <c r="A72" s="25" t="s">
        <v>80</v>
      </c>
      <c r="B72" s="114">
        <f>'SHEET A'!C13</f>
        <v>0.15</v>
      </c>
      <c r="C72" s="214"/>
      <c r="D72" s="217"/>
      <c r="F72" s="248"/>
    </row>
    <row r="73" spans="1:6" x14ac:dyDescent="0.25">
      <c r="A73" s="25" t="s">
        <v>226</v>
      </c>
      <c r="B73" s="26">
        <v>5</v>
      </c>
      <c r="C73" s="214"/>
      <c r="D73" s="217"/>
      <c r="F73" s="248"/>
    </row>
    <row r="74" spans="1:6" ht="15.75" thickBot="1" x14ac:dyDescent="0.3">
      <c r="A74" s="27" t="s">
        <v>81</v>
      </c>
      <c r="B74" s="91">
        <f>(B71*B72)*B73</f>
        <v>75</v>
      </c>
      <c r="C74" s="215"/>
      <c r="D74" s="218"/>
      <c r="F74" s="248"/>
    </row>
    <row r="75" spans="1:6" ht="15.75" thickBot="1" x14ac:dyDescent="0.3">
      <c r="A75" s="115" t="s">
        <v>137</v>
      </c>
      <c r="B75" s="116">
        <f>+B61+B66+B69+B74</f>
        <v>49215</v>
      </c>
      <c r="C75" s="103"/>
      <c r="D75" s="38"/>
      <c r="F75" s="248"/>
    </row>
    <row r="76" spans="1:6" ht="15.75" thickBot="1" x14ac:dyDescent="0.3">
      <c r="A76" s="138" t="s">
        <v>124</v>
      </c>
      <c r="B76" s="1"/>
      <c r="C76" s="2"/>
      <c r="D76" s="3"/>
      <c r="F76" s="248"/>
    </row>
    <row r="77" spans="1:6" x14ac:dyDescent="0.25">
      <c r="A77" s="134" t="s">
        <v>219</v>
      </c>
      <c r="B77" s="135">
        <v>200</v>
      </c>
      <c r="C77" s="207">
        <v>60</v>
      </c>
      <c r="D77" s="210">
        <f>C77/12</f>
        <v>5</v>
      </c>
      <c r="F77" s="248"/>
    </row>
    <row r="78" spans="1:6" x14ac:dyDescent="0.25">
      <c r="A78" s="144" t="s">
        <v>234</v>
      </c>
      <c r="B78" s="139">
        <f>'SHEET A'!C26*(B77)</f>
        <v>84</v>
      </c>
      <c r="C78" s="208"/>
      <c r="D78" s="211"/>
      <c r="F78" s="248"/>
    </row>
    <row r="79" spans="1:6" x14ac:dyDescent="0.25">
      <c r="A79" s="144" t="s">
        <v>235</v>
      </c>
      <c r="B79" s="139">
        <f>'SHEET A'!C27*(B77)*5</f>
        <v>1799.9999999999998</v>
      </c>
      <c r="C79" s="208"/>
      <c r="D79" s="211"/>
      <c r="F79" s="248"/>
    </row>
    <row r="80" spans="1:6" x14ac:dyDescent="0.25">
      <c r="A80" s="170" t="s">
        <v>286</v>
      </c>
      <c r="B80" s="172">
        <v>100</v>
      </c>
      <c r="C80" s="208"/>
      <c r="D80" s="211"/>
      <c r="F80" s="248"/>
    </row>
    <row r="81" spans="1:6" x14ac:dyDescent="0.25">
      <c r="A81" s="170" t="s">
        <v>287</v>
      </c>
      <c r="B81" s="173">
        <f>'SHEET A'!C23</f>
        <v>1.7999999999999998</v>
      </c>
      <c r="C81" s="208"/>
      <c r="D81" s="211"/>
      <c r="F81" s="248"/>
    </row>
    <row r="82" spans="1:6" x14ac:dyDescent="0.25">
      <c r="A82" s="144" t="s">
        <v>288</v>
      </c>
      <c r="B82" s="174">
        <f>B80*B81</f>
        <v>179.99999999999997</v>
      </c>
      <c r="C82" s="208"/>
      <c r="D82" s="211"/>
      <c r="F82" s="248"/>
    </row>
    <row r="83" spans="1:6" ht="15.75" thickBot="1" x14ac:dyDescent="0.3">
      <c r="A83" s="136" t="s">
        <v>130</v>
      </c>
      <c r="B83" s="137">
        <f>B78+B79+B82</f>
        <v>2063.9999999999995</v>
      </c>
      <c r="C83" s="209"/>
      <c r="D83" s="212"/>
      <c r="F83" s="249"/>
    </row>
    <row r="84" spans="1:6" ht="15.75" thickBot="1" x14ac:dyDescent="0.3">
      <c r="A84" s="115" t="s">
        <v>138</v>
      </c>
      <c r="B84" s="116">
        <f>+B61+B66+B74+B83+B69</f>
        <v>51279</v>
      </c>
      <c r="C84" s="103"/>
      <c r="D84" s="38"/>
    </row>
    <row r="85" spans="1:6" ht="15.75" thickBot="1" x14ac:dyDescent="0.3">
      <c r="A85" s="23" t="s">
        <v>76</v>
      </c>
      <c r="B85" s="1"/>
      <c r="C85" s="15"/>
      <c r="D85" s="15"/>
    </row>
    <row r="86" spans="1:6" x14ac:dyDescent="0.25">
      <c r="A86" s="24" t="s">
        <v>37</v>
      </c>
      <c r="B86" s="90">
        <f>'SHEET A'!C12</f>
        <v>0.06</v>
      </c>
      <c r="C86" s="213">
        <v>6</v>
      </c>
      <c r="D86" s="216">
        <f>C86/12</f>
        <v>0.5</v>
      </c>
      <c r="F86" s="247" t="s">
        <v>169</v>
      </c>
    </row>
    <row r="87" spans="1:6" x14ac:dyDescent="0.25">
      <c r="A87" s="25" t="s">
        <v>30</v>
      </c>
      <c r="B87" s="26">
        <v>100</v>
      </c>
      <c r="C87" s="214"/>
      <c r="D87" s="217"/>
      <c r="F87" s="248"/>
    </row>
    <row r="88" spans="1:6" x14ac:dyDescent="0.25">
      <c r="A88" s="25" t="s">
        <v>170</v>
      </c>
      <c r="B88" s="26">
        <v>30</v>
      </c>
      <c r="C88" s="214"/>
      <c r="D88" s="217"/>
      <c r="F88" s="248"/>
    </row>
    <row r="89" spans="1:6" x14ac:dyDescent="0.25">
      <c r="A89" s="25" t="s">
        <v>171</v>
      </c>
      <c r="B89" s="26">
        <f>B87*B88</f>
        <v>3000</v>
      </c>
      <c r="C89" s="214"/>
      <c r="D89" s="217"/>
      <c r="F89" s="248"/>
    </row>
    <row r="90" spans="1:6" ht="15.75" thickBot="1" x14ac:dyDescent="0.3">
      <c r="A90" s="27" t="s">
        <v>172</v>
      </c>
      <c r="B90" s="91">
        <f>B86*B87*B88</f>
        <v>180</v>
      </c>
      <c r="C90" s="215"/>
      <c r="D90" s="218"/>
      <c r="F90" s="248"/>
    </row>
    <row r="91" spans="1:6" ht="15.75" thickBot="1" x14ac:dyDescent="0.3">
      <c r="A91" s="23" t="s">
        <v>131</v>
      </c>
      <c r="B91" s="12"/>
      <c r="C91" s="28"/>
      <c r="D91" s="28"/>
      <c r="F91" s="248"/>
    </row>
    <row r="92" spans="1:6" x14ac:dyDescent="0.25">
      <c r="A92" s="24" t="s">
        <v>132</v>
      </c>
      <c r="B92" s="111">
        <v>100</v>
      </c>
      <c r="C92" s="213">
        <v>6</v>
      </c>
      <c r="D92" s="216">
        <f>C92/12</f>
        <v>0.5</v>
      </c>
      <c r="F92" s="248"/>
    </row>
    <row r="93" spans="1:6" x14ac:dyDescent="0.25">
      <c r="A93" s="25" t="s">
        <v>228</v>
      </c>
      <c r="B93" s="26">
        <v>20</v>
      </c>
      <c r="C93" s="214"/>
      <c r="D93" s="217"/>
      <c r="F93" s="248"/>
    </row>
    <row r="94" spans="1:6" x14ac:dyDescent="0.25">
      <c r="A94" s="25" t="s">
        <v>13</v>
      </c>
      <c r="B94" s="112">
        <f>'SHEET A'!C15</f>
        <v>24</v>
      </c>
      <c r="C94" s="214"/>
      <c r="D94" s="217"/>
      <c r="F94" s="248"/>
    </row>
    <row r="95" spans="1:6" x14ac:dyDescent="0.25">
      <c r="A95" s="25" t="s">
        <v>117</v>
      </c>
      <c r="B95" s="113">
        <f>B92*B94*B93</f>
        <v>48000</v>
      </c>
      <c r="C95" s="214"/>
      <c r="D95" s="217"/>
      <c r="F95" s="248"/>
    </row>
    <row r="96" spans="1:6" x14ac:dyDescent="0.25">
      <c r="A96" s="25" t="s">
        <v>118</v>
      </c>
      <c r="B96" s="26">
        <v>100</v>
      </c>
      <c r="C96" s="214"/>
      <c r="D96" s="217"/>
      <c r="F96" s="248"/>
    </row>
    <row r="97" spans="1:12" x14ac:dyDescent="0.25">
      <c r="A97" s="118" t="s">
        <v>217</v>
      </c>
      <c r="B97" s="117">
        <f>(B92*B93)</f>
        <v>2000</v>
      </c>
      <c r="C97" s="214"/>
      <c r="D97" s="217"/>
      <c r="F97" s="248"/>
    </row>
    <row r="98" spans="1:12" ht="15.75" thickBot="1" x14ac:dyDescent="0.3">
      <c r="A98" s="27" t="s">
        <v>229</v>
      </c>
      <c r="B98" s="91">
        <f>'SHEET A'!C32*B97</f>
        <v>960</v>
      </c>
      <c r="C98" s="110"/>
      <c r="D98" s="109"/>
      <c r="F98" s="248"/>
    </row>
    <row r="99" spans="1:12" ht="15.75" thickBot="1" x14ac:dyDescent="0.3">
      <c r="A99" s="23" t="s">
        <v>77</v>
      </c>
      <c r="B99" s="12"/>
      <c r="C99" s="28"/>
      <c r="D99" s="28"/>
      <c r="F99" s="248"/>
    </row>
    <row r="100" spans="1:12" x14ac:dyDescent="0.25">
      <c r="A100" s="24" t="s">
        <v>133</v>
      </c>
      <c r="B100" s="111">
        <v>100</v>
      </c>
      <c r="C100" s="213">
        <v>12</v>
      </c>
      <c r="D100" s="216">
        <f>C100/12</f>
        <v>1</v>
      </c>
      <c r="F100" s="248"/>
    </row>
    <row r="101" spans="1:12" x14ac:dyDescent="0.25">
      <c r="A101" s="25" t="s">
        <v>40</v>
      </c>
      <c r="B101" s="114">
        <f>'SHEET A'!C13</f>
        <v>0.15</v>
      </c>
      <c r="C101" s="214"/>
      <c r="D101" s="217"/>
      <c r="F101" s="248"/>
    </row>
    <row r="102" spans="1:12" x14ac:dyDescent="0.25">
      <c r="A102" s="25" t="s">
        <v>36</v>
      </c>
      <c r="B102" s="26">
        <v>5</v>
      </c>
      <c r="C102" s="214"/>
      <c r="D102" s="217"/>
      <c r="F102" s="248"/>
    </row>
    <row r="103" spans="1:12" ht="15.75" thickBot="1" x14ac:dyDescent="0.3">
      <c r="A103" s="27" t="s">
        <v>83</v>
      </c>
      <c r="B103" s="91">
        <f>B100*B102*B101</f>
        <v>75</v>
      </c>
      <c r="C103" s="215"/>
      <c r="D103" s="218"/>
      <c r="F103" s="249"/>
    </row>
    <row r="104" spans="1:12" ht="15.75" thickBot="1" x14ac:dyDescent="0.3">
      <c r="A104" s="115" t="s">
        <v>139</v>
      </c>
      <c r="B104" s="116">
        <f>+B90+B95+B98+B103</f>
        <v>49215</v>
      </c>
      <c r="C104" s="103"/>
      <c r="D104" s="38"/>
    </row>
    <row r="105" spans="1:12" ht="22.5" customHeight="1" x14ac:dyDescent="0.25">
      <c r="A105" s="40" t="s">
        <v>104</v>
      </c>
      <c r="B105" s="119">
        <f>+B9+B26+B55+B84+B104</f>
        <v>237087</v>
      </c>
      <c r="C105" s="41">
        <f>SUM(C3:C103)</f>
        <v>276</v>
      </c>
      <c r="D105" s="41">
        <f>C105/12</f>
        <v>23</v>
      </c>
    </row>
    <row r="106" spans="1:12" ht="14.25" customHeight="1" x14ac:dyDescent="0.25">
      <c r="B106" s="43"/>
      <c r="D106" s="41" t="s">
        <v>1</v>
      </c>
    </row>
    <row r="107" spans="1:12" ht="14.25" customHeight="1" x14ac:dyDescent="0.25">
      <c r="B107" s="87"/>
      <c r="F107" s="45"/>
      <c r="G107" s="45"/>
      <c r="H107" s="45"/>
      <c r="I107" s="46"/>
      <c r="J107" s="45"/>
      <c r="K107" s="45"/>
      <c r="L107" s="45"/>
    </row>
    <row r="108" spans="1:12" ht="17.25" customHeight="1" x14ac:dyDescent="0.3">
      <c r="A108" s="47" t="s">
        <v>42</v>
      </c>
      <c r="B108" s="48"/>
      <c r="C108" s="48"/>
      <c r="D108" s="49"/>
      <c r="F108" s="45"/>
      <c r="G108" s="45"/>
      <c r="H108" s="45"/>
      <c r="I108" s="46"/>
      <c r="J108" s="45"/>
      <c r="K108" s="45"/>
      <c r="L108" s="45"/>
    </row>
    <row r="109" spans="1:12" ht="14.25" customHeight="1" thickBot="1" x14ac:dyDescent="0.3">
      <c r="A109" s="50" t="s">
        <v>43</v>
      </c>
      <c r="B109" s="51"/>
      <c r="C109" s="48"/>
      <c r="D109" s="49"/>
      <c r="F109" s="45"/>
      <c r="G109" s="45"/>
      <c r="H109" s="45"/>
      <c r="I109" s="46"/>
      <c r="J109" s="45"/>
      <c r="K109" s="45"/>
      <c r="L109" s="45"/>
    </row>
    <row r="110" spans="1:12" x14ac:dyDescent="0.25">
      <c r="A110" s="29" t="s">
        <v>230</v>
      </c>
      <c r="B110" s="52">
        <v>2000</v>
      </c>
      <c r="C110" s="241"/>
      <c r="D110" s="244"/>
      <c r="F110" s="237" t="s">
        <v>174</v>
      </c>
      <c r="G110" s="13"/>
      <c r="H110" s="240"/>
      <c r="I110" s="240"/>
      <c r="J110" s="45"/>
      <c r="K110" s="45"/>
      <c r="L110" s="45"/>
    </row>
    <row r="111" spans="1:12" ht="14.25" customHeight="1" x14ac:dyDescent="0.25">
      <c r="A111" s="30" t="s">
        <v>231</v>
      </c>
      <c r="B111" s="92">
        <f>'SHEET A'!C13</f>
        <v>0.15</v>
      </c>
      <c r="C111" s="242"/>
      <c r="D111" s="245"/>
      <c r="F111" s="238"/>
      <c r="G111" s="4"/>
      <c r="H111" s="240"/>
      <c r="I111" s="240"/>
      <c r="J111" s="45"/>
      <c r="K111" s="45"/>
      <c r="L111" s="45"/>
    </row>
    <row r="112" spans="1:12" x14ac:dyDescent="0.25">
      <c r="A112" s="30" t="s">
        <v>237</v>
      </c>
      <c r="B112" s="31">
        <v>45</v>
      </c>
      <c r="C112" s="242"/>
      <c r="D112" s="245"/>
      <c r="F112" s="238"/>
      <c r="G112" s="4"/>
      <c r="H112" s="240"/>
      <c r="I112" s="240"/>
      <c r="J112" s="45"/>
      <c r="K112" s="45"/>
      <c r="L112" s="45"/>
    </row>
    <row r="113" spans="1:12" x14ac:dyDescent="0.25">
      <c r="A113" s="30" t="s">
        <v>232</v>
      </c>
      <c r="B113" s="31">
        <f>B110*B112</f>
        <v>90000</v>
      </c>
      <c r="C113" s="242"/>
      <c r="D113" s="245"/>
      <c r="F113" s="238"/>
      <c r="G113" s="4"/>
      <c r="H113" s="240"/>
      <c r="I113" s="240"/>
      <c r="J113" s="45"/>
      <c r="K113" s="45"/>
      <c r="L113" s="45"/>
    </row>
    <row r="114" spans="1:12" ht="15" customHeight="1" thickBot="1" x14ac:dyDescent="0.3">
      <c r="A114" s="32" t="s">
        <v>233</v>
      </c>
      <c r="B114" s="93">
        <f>+B111*B113</f>
        <v>13500</v>
      </c>
      <c r="C114" s="243"/>
      <c r="D114" s="246"/>
      <c r="F114" s="238"/>
      <c r="G114" s="14"/>
      <c r="H114" s="240"/>
      <c r="I114" s="240"/>
      <c r="J114" s="45"/>
      <c r="K114" s="45"/>
      <c r="L114" s="45"/>
    </row>
    <row r="115" spans="1:12" ht="14.25" customHeight="1" thickBot="1" x14ac:dyDescent="0.3">
      <c r="A115" s="154" t="s">
        <v>15</v>
      </c>
      <c r="B115" s="1"/>
      <c r="C115" s="2"/>
      <c r="D115" s="2"/>
      <c r="F115" s="238"/>
      <c r="G115" s="4"/>
      <c r="H115" s="240"/>
      <c r="I115" s="240"/>
      <c r="J115" s="45"/>
      <c r="K115" s="45"/>
      <c r="L115" s="45"/>
    </row>
    <row r="116" spans="1:12" ht="14.25" customHeight="1" x14ac:dyDescent="0.25">
      <c r="A116" s="35" t="s">
        <v>6</v>
      </c>
      <c r="B116" s="155">
        <v>3</v>
      </c>
      <c r="C116" s="228">
        <v>12</v>
      </c>
      <c r="D116" s="225">
        <f>C116/12</f>
        <v>1</v>
      </c>
      <c r="F116" s="238"/>
      <c r="G116" s="54"/>
      <c r="H116" s="240"/>
      <c r="I116" s="240"/>
      <c r="J116" s="45"/>
      <c r="K116" s="45"/>
      <c r="L116" s="45"/>
    </row>
    <row r="117" spans="1:12" x14ac:dyDescent="0.25">
      <c r="A117" s="35" t="s">
        <v>8</v>
      </c>
      <c r="B117" s="156">
        <v>9</v>
      </c>
      <c r="C117" s="229"/>
      <c r="D117" s="226"/>
      <c r="F117" s="238"/>
      <c r="G117" s="14"/>
      <c r="H117" s="240"/>
      <c r="I117" s="240"/>
      <c r="J117" s="45"/>
      <c r="K117" s="45"/>
      <c r="L117" s="45"/>
    </row>
    <row r="118" spans="1:12" x14ac:dyDescent="0.25">
      <c r="A118" s="35" t="s">
        <v>9</v>
      </c>
      <c r="B118" s="156">
        <f>B110*B116*B117</f>
        <v>54000</v>
      </c>
      <c r="C118" s="229"/>
      <c r="D118" s="226"/>
      <c r="F118" s="238"/>
      <c r="G118" s="54"/>
      <c r="H118" s="240"/>
      <c r="I118" s="240"/>
      <c r="J118" s="45"/>
      <c r="K118" s="45"/>
      <c r="L118" s="45"/>
    </row>
    <row r="119" spans="1:12" x14ac:dyDescent="0.25">
      <c r="A119" s="35" t="s">
        <v>10</v>
      </c>
      <c r="B119" s="157">
        <f>'SHEET A'!C31</f>
        <v>0.12</v>
      </c>
      <c r="C119" s="229"/>
      <c r="D119" s="226"/>
      <c r="F119" s="238"/>
      <c r="G119" s="4"/>
      <c r="H119" s="5"/>
      <c r="I119" s="6"/>
      <c r="J119" s="45"/>
      <c r="K119" s="45"/>
      <c r="L119" s="45"/>
    </row>
    <row r="120" spans="1:12" x14ac:dyDescent="0.25">
      <c r="A120" s="35" t="s">
        <v>236</v>
      </c>
      <c r="B120" s="156">
        <f>B118*0.05</f>
        <v>2700</v>
      </c>
      <c r="C120" s="229"/>
      <c r="D120" s="226"/>
      <c r="F120" s="238"/>
      <c r="G120" s="13"/>
      <c r="H120" s="240"/>
      <c r="I120" s="240"/>
      <c r="J120" s="45"/>
      <c r="K120" s="45"/>
      <c r="L120" s="45"/>
    </row>
    <row r="121" spans="1:12" ht="14.25" customHeight="1" x14ac:dyDescent="0.25">
      <c r="A121" s="64" t="s">
        <v>11</v>
      </c>
      <c r="B121" s="158">
        <f>B120*B119</f>
        <v>324</v>
      </c>
      <c r="C121" s="229"/>
      <c r="D121" s="226"/>
      <c r="F121" s="238"/>
      <c r="G121" s="14"/>
      <c r="H121" s="240"/>
      <c r="I121" s="240"/>
      <c r="J121" s="45"/>
      <c r="K121" s="45"/>
      <c r="L121" s="45"/>
    </row>
    <row r="122" spans="1:12" ht="14.25" customHeight="1" x14ac:dyDescent="0.25">
      <c r="A122" s="35" t="s">
        <v>31</v>
      </c>
      <c r="B122" s="157">
        <f>'SHEET A'!C30</f>
        <v>0.89999999999999991</v>
      </c>
      <c r="C122" s="229"/>
      <c r="D122" s="226"/>
      <c r="F122" s="238"/>
      <c r="G122" s="14"/>
      <c r="H122" s="240"/>
      <c r="I122" s="240"/>
      <c r="J122" s="45"/>
      <c r="K122" s="45"/>
      <c r="L122" s="45"/>
    </row>
    <row r="123" spans="1:12" ht="14.25" customHeight="1" thickBot="1" x14ac:dyDescent="0.3">
      <c r="A123" s="36" t="s">
        <v>24</v>
      </c>
      <c r="B123" s="159">
        <f>B118*B122+(B121)</f>
        <v>48923.999999999993</v>
      </c>
      <c r="C123" s="230"/>
      <c r="D123" s="227"/>
      <c r="F123" s="238"/>
      <c r="G123" s="54"/>
      <c r="H123" s="240"/>
      <c r="I123" s="240"/>
      <c r="J123" s="45"/>
      <c r="K123" s="45"/>
      <c r="L123" s="45"/>
    </row>
    <row r="124" spans="1:12" ht="15.75" thickBot="1" x14ac:dyDescent="0.3">
      <c r="A124" s="154" t="s">
        <v>16</v>
      </c>
      <c r="B124" s="1"/>
      <c r="C124" s="2"/>
      <c r="D124" s="2"/>
      <c r="F124" s="238"/>
      <c r="G124" s="54"/>
      <c r="H124" s="240"/>
      <c r="I124" s="240"/>
      <c r="J124" s="45"/>
      <c r="K124" s="45"/>
      <c r="L124" s="45"/>
    </row>
    <row r="125" spans="1:12" ht="15" customHeight="1" x14ac:dyDescent="0.25">
      <c r="A125" s="34" t="s">
        <v>12</v>
      </c>
      <c r="B125" s="160">
        <f>'SHEET A'!C33</f>
        <v>0.06</v>
      </c>
      <c r="C125" s="228">
        <v>96</v>
      </c>
      <c r="D125" s="225">
        <f>C125/12</f>
        <v>8</v>
      </c>
      <c r="F125" s="238"/>
      <c r="G125" s="54"/>
      <c r="H125" s="240"/>
      <c r="I125" s="240"/>
      <c r="J125" s="45"/>
      <c r="K125" s="45"/>
      <c r="L125" s="45"/>
    </row>
    <row r="126" spans="1:12" x14ac:dyDescent="0.25">
      <c r="A126" s="35" t="s">
        <v>26</v>
      </c>
      <c r="B126" s="161">
        <f>'SHEET A'!C35</f>
        <v>3</v>
      </c>
      <c r="C126" s="229"/>
      <c r="D126" s="226"/>
      <c r="F126" s="238"/>
      <c r="G126" s="14"/>
      <c r="H126" s="240"/>
      <c r="I126" s="240"/>
      <c r="J126" s="45"/>
      <c r="K126" s="45"/>
      <c r="L126" s="45"/>
    </row>
    <row r="127" spans="1:12" x14ac:dyDescent="0.25">
      <c r="A127" s="35" t="s">
        <v>25</v>
      </c>
      <c r="B127" s="161">
        <f>'SHEET A'!C36</f>
        <v>0.06</v>
      </c>
      <c r="C127" s="229"/>
      <c r="D127" s="226"/>
      <c r="F127" s="238"/>
      <c r="G127" s="54"/>
      <c r="H127" s="240"/>
      <c r="I127" s="240"/>
      <c r="J127" s="45"/>
      <c r="K127" s="45"/>
      <c r="L127" s="45"/>
    </row>
    <row r="128" spans="1:12" x14ac:dyDescent="0.25">
      <c r="A128" s="64" t="s">
        <v>27</v>
      </c>
      <c r="B128" s="162">
        <f>B118*B125</f>
        <v>3240</v>
      </c>
      <c r="C128" s="229"/>
      <c r="D128" s="226"/>
      <c r="F128" s="238"/>
      <c r="G128" s="54"/>
      <c r="H128" s="240"/>
      <c r="I128" s="240"/>
      <c r="J128" s="45"/>
      <c r="K128" s="45"/>
      <c r="L128" s="45"/>
    </row>
    <row r="129" spans="1:12" x14ac:dyDescent="0.25">
      <c r="A129" s="64" t="s">
        <v>28</v>
      </c>
      <c r="B129" s="162">
        <f>(2000*9)*B126</f>
        <v>54000</v>
      </c>
      <c r="C129" s="229"/>
      <c r="D129" s="226"/>
      <c r="F129" s="238"/>
      <c r="G129" s="55"/>
      <c r="H129" s="5"/>
      <c r="I129" s="56"/>
      <c r="J129" s="45"/>
      <c r="K129" s="45"/>
      <c r="L129" s="45"/>
    </row>
    <row r="130" spans="1:12" x14ac:dyDescent="0.25">
      <c r="A130" s="64" t="s">
        <v>29</v>
      </c>
      <c r="B130" s="162">
        <f>B118*B127</f>
        <v>3240</v>
      </c>
      <c r="C130" s="229"/>
      <c r="D130" s="226"/>
      <c r="F130" s="238"/>
      <c r="G130" s="55"/>
      <c r="H130" s="5"/>
      <c r="I130" s="56"/>
      <c r="J130" s="45"/>
      <c r="K130" s="45"/>
      <c r="L130" s="45"/>
    </row>
    <row r="131" spans="1:12" ht="15.75" thickBot="1" x14ac:dyDescent="0.3">
      <c r="A131" s="36" t="s">
        <v>32</v>
      </c>
      <c r="B131" s="163">
        <f>B128+B129+B130</f>
        <v>60480</v>
      </c>
      <c r="C131" s="230"/>
      <c r="D131" s="227"/>
      <c r="F131" s="238"/>
      <c r="G131" s="45"/>
      <c r="H131" s="45"/>
      <c r="I131" s="46"/>
      <c r="J131" s="45"/>
      <c r="K131" s="45"/>
      <c r="L131" s="45"/>
    </row>
    <row r="132" spans="1:12" ht="15.75" thickBot="1" x14ac:dyDescent="0.3">
      <c r="A132" s="154" t="s">
        <v>17</v>
      </c>
      <c r="B132" s="1"/>
      <c r="C132" s="2"/>
      <c r="D132" s="2"/>
      <c r="F132" s="238"/>
      <c r="G132" s="45"/>
      <c r="H132" s="45"/>
      <c r="I132" s="46"/>
      <c r="J132" s="45"/>
      <c r="K132" s="45"/>
      <c r="L132" s="45"/>
    </row>
    <row r="133" spans="1:12" x14ac:dyDescent="0.25">
      <c r="A133" s="34" t="s">
        <v>18</v>
      </c>
      <c r="B133" s="160">
        <v>0</v>
      </c>
      <c r="C133" s="228">
        <v>0</v>
      </c>
      <c r="D133" s="225">
        <f>C133/12</f>
        <v>0</v>
      </c>
      <c r="F133" s="238"/>
      <c r="G133" s="45"/>
      <c r="H133" s="45"/>
      <c r="I133" s="46"/>
      <c r="J133" s="45"/>
      <c r="K133" s="45"/>
      <c r="L133" s="45"/>
    </row>
    <row r="134" spans="1:12" ht="15.75" thickBot="1" x14ac:dyDescent="0.3">
      <c r="A134" s="164" t="s">
        <v>19</v>
      </c>
      <c r="B134" s="165">
        <v>0</v>
      </c>
      <c r="C134" s="230"/>
      <c r="D134" s="227"/>
      <c r="F134" s="239"/>
      <c r="G134" s="45"/>
      <c r="H134" s="45"/>
      <c r="I134" s="46"/>
      <c r="J134" s="45"/>
      <c r="K134" s="45"/>
      <c r="L134" s="45"/>
    </row>
    <row r="135" spans="1:12" s="60" customFormat="1" ht="19.5" customHeight="1" x14ac:dyDescent="0.4">
      <c r="A135" s="40" t="s">
        <v>14</v>
      </c>
      <c r="B135" s="119">
        <f>B114+B123+B131</f>
        <v>122904</v>
      </c>
      <c r="C135" s="41">
        <f>SUM(C110:C134)</f>
        <v>108</v>
      </c>
      <c r="D135" s="41">
        <f>SUM(D110:D134)</f>
        <v>9</v>
      </c>
      <c r="F135" s="61"/>
      <c r="G135" s="61"/>
      <c r="H135" s="61"/>
      <c r="I135" s="62"/>
      <c r="J135" s="61"/>
      <c r="K135" s="61"/>
      <c r="L135" s="61"/>
    </row>
    <row r="136" spans="1:12" ht="18.75" x14ac:dyDescent="0.25">
      <c r="C136" s="7"/>
      <c r="D136" s="41" t="s">
        <v>1</v>
      </c>
    </row>
    <row r="137" spans="1:12" x14ac:dyDescent="0.25">
      <c r="B137" s="96"/>
    </row>
    <row r="140" spans="1:12" ht="26.25" x14ac:dyDescent="0.25">
      <c r="A140" s="57" t="s">
        <v>41</v>
      </c>
      <c r="B140" s="95">
        <f>B105+B135</f>
        <v>359991</v>
      </c>
      <c r="C140" s="58"/>
      <c r="D140" s="59"/>
    </row>
    <row r="141" spans="1:12" x14ac:dyDescent="0.25">
      <c r="B141" s="63"/>
    </row>
    <row r="142" spans="1:12" x14ac:dyDescent="0.25">
      <c r="B142" s="87"/>
    </row>
  </sheetData>
  <mergeCells count="48">
    <mergeCell ref="F3:F8"/>
    <mergeCell ref="F11:F25"/>
    <mergeCell ref="F28:F54"/>
    <mergeCell ref="F57:F83"/>
    <mergeCell ref="F86:F103"/>
    <mergeCell ref="C100:C103"/>
    <mergeCell ref="D100:D103"/>
    <mergeCell ref="C48:C54"/>
    <mergeCell ref="D48:D54"/>
    <mergeCell ref="C77:C83"/>
    <mergeCell ref="D77:D83"/>
    <mergeCell ref="C71:C74"/>
    <mergeCell ref="D71:D74"/>
    <mergeCell ref="C86:C90"/>
    <mergeCell ref="D86:D90"/>
    <mergeCell ref="C57:C61"/>
    <mergeCell ref="D57:D61"/>
    <mergeCell ref="C63:C68"/>
    <mergeCell ref="D63:D68"/>
    <mergeCell ref="C3:C8"/>
    <mergeCell ref="D3:D8"/>
    <mergeCell ref="H120:H128"/>
    <mergeCell ref="H110:H111"/>
    <mergeCell ref="C11:C17"/>
    <mergeCell ref="D11:D17"/>
    <mergeCell ref="C19:C25"/>
    <mergeCell ref="D19:D25"/>
    <mergeCell ref="C28:C32"/>
    <mergeCell ref="D28:D32"/>
    <mergeCell ref="C34:C39"/>
    <mergeCell ref="D34:D39"/>
    <mergeCell ref="C42:C45"/>
    <mergeCell ref="D42:D45"/>
    <mergeCell ref="C92:C97"/>
    <mergeCell ref="D92:D97"/>
    <mergeCell ref="C133:C134"/>
    <mergeCell ref="D133:D134"/>
    <mergeCell ref="I120:I128"/>
    <mergeCell ref="C110:C114"/>
    <mergeCell ref="D110:D114"/>
    <mergeCell ref="C116:C123"/>
    <mergeCell ref="D116:D123"/>
    <mergeCell ref="C125:C131"/>
    <mergeCell ref="D125:D131"/>
    <mergeCell ref="I110:I111"/>
    <mergeCell ref="H112:H118"/>
    <mergeCell ref="I112:I118"/>
    <mergeCell ref="F110:F134"/>
  </mergeCells>
  <pageMargins left="0.7" right="0.7" top="0.75" bottom="0.75" header="0.3" footer="0.3"/>
  <pageSetup paperSize="9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22"/>
  <sheetViews>
    <sheetView showGridLines="0" topLeftCell="A199" zoomScale="130" zoomScaleNormal="130" workbookViewId="0">
      <selection activeCell="A173" sqref="A173:XFD173"/>
    </sheetView>
  </sheetViews>
  <sheetFormatPr defaultRowHeight="15" x14ac:dyDescent="0.25"/>
  <cols>
    <col min="1" max="1" width="122.7109375" style="42" bestFit="1" customWidth="1"/>
    <col min="2" max="2" width="22.7109375" style="42" bestFit="1" customWidth="1"/>
    <col min="3" max="3" width="12.28515625" style="44" bestFit="1" customWidth="1"/>
    <col min="4" max="4" width="8.5703125" style="39" bestFit="1" customWidth="1"/>
    <col min="5" max="5" width="2.85546875" style="7" bestFit="1" customWidth="1"/>
    <col min="6" max="6" width="12.42578125" style="7" customWidth="1"/>
    <col min="7" max="7" width="19.5703125" style="7" bestFit="1" customWidth="1"/>
    <col min="8" max="8" width="9.140625" style="7"/>
    <col min="9" max="9" width="9.140625" style="16"/>
    <col min="10" max="16384" width="9.140625" style="7"/>
  </cols>
  <sheetData>
    <row r="1" spans="1:9" ht="18.75" x14ac:dyDescent="0.25">
      <c r="A1" s="75" t="s">
        <v>101</v>
      </c>
      <c r="B1" s="76" t="s">
        <v>3</v>
      </c>
      <c r="C1" s="77" t="s">
        <v>2</v>
      </c>
      <c r="D1" s="77" t="s">
        <v>1</v>
      </c>
      <c r="I1" s="7"/>
    </row>
    <row r="2" spans="1:9" ht="15.75" thickBot="1" x14ac:dyDescent="0.3">
      <c r="A2" s="17" t="s">
        <v>113</v>
      </c>
      <c r="B2" s="7"/>
      <c r="C2" s="15"/>
      <c r="D2" s="15"/>
    </row>
    <row r="3" spans="1:9" x14ac:dyDescent="0.25">
      <c r="A3" s="18" t="s">
        <v>238</v>
      </c>
      <c r="B3" s="19">
        <v>3000</v>
      </c>
      <c r="C3" s="231">
        <v>0</v>
      </c>
      <c r="D3" s="234">
        <v>0</v>
      </c>
      <c r="F3" s="237" t="s">
        <v>173</v>
      </c>
    </row>
    <row r="4" spans="1:9" x14ac:dyDescent="0.25">
      <c r="A4" s="53" t="s">
        <v>26</v>
      </c>
      <c r="B4" s="94">
        <f>'SHEET A'!C35</f>
        <v>3</v>
      </c>
      <c r="C4" s="232"/>
      <c r="D4" s="235"/>
      <c r="F4" s="238"/>
    </row>
    <row r="5" spans="1:9" x14ac:dyDescent="0.25">
      <c r="A5" s="53" t="s">
        <v>25</v>
      </c>
      <c r="B5" s="94">
        <f>'SHEET A'!C36</f>
        <v>0.06</v>
      </c>
      <c r="C5" s="232"/>
      <c r="D5" s="235"/>
      <c r="F5" s="238"/>
    </row>
    <row r="6" spans="1:9" x14ac:dyDescent="0.25">
      <c r="A6" s="20" t="s">
        <v>4</v>
      </c>
      <c r="B6" s="88">
        <f>'SHEET A'!C15</f>
        <v>24</v>
      </c>
      <c r="C6" s="232"/>
      <c r="D6" s="235"/>
      <c r="F6" s="238"/>
    </row>
    <row r="7" spans="1:9" x14ac:dyDescent="0.25">
      <c r="A7" s="21" t="s">
        <v>38</v>
      </c>
      <c r="B7" s="89">
        <f>B3*B6</f>
        <v>72000</v>
      </c>
      <c r="C7" s="232"/>
      <c r="D7" s="235"/>
      <c r="F7" s="238"/>
    </row>
    <row r="8" spans="1:9" ht="15.75" thickBot="1" x14ac:dyDescent="0.3">
      <c r="A8" s="22" t="s">
        <v>39</v>
      </c>
      <c r="B8" s="142">
        <f>B3*(B4+B5)</f>
        <v>9180</v>
      </c>
      <c r="C8" s="233"/>
      <c r="D8" s="236"/>
      <c r="F8" s="239"/>
    </row>
    <row r="9" spans="1:9" ht="15.75" thickBot="1" x14ac:dyDescent="0.3">
      <c r="A9" s="140" t="s">
        <v>107</v>
      </c>
      <c r="B9" s="141">
        <f>B7+B8</f>
        <v>81180</v>
      </c>
      <c r="C9" s="7"/>
      <c r="D9" s="7"/>
    </row>
    <row r="10" spans="1:9" ht="15.75" thickBot="1" x14ac:dyDescent="0.3">
      <c r="A10" s="23" t="s">
        <v>102</v>
      </c>
      <c r="B10" s="1"/>
      <c r="C10" s="15"/>
      <c r="D10" s="15"/>
    </row>
    <row r="11" spans="1:9" x14ac:dyDescent="0.25">
      <c r="A11" s="24" t="s">
        <v>177</v>
      </c>
      <c r="B11" s="111">
        <v>100</v>
      </c>
      <c r="C11" s="213">
        <v>36</v>
      </c>
      <c r="D11" s="216">
        <f>C11/12</f>
        <v>3</v>
      </c>
      <c r="F11" s="204" t="s">
        <v>222</v>
      </c>
    </row>
    <row r="12" spans="1:9" x14ac:dyDescent="0.25">
      <c r="A12" s="25" t="s">
        <v>180</v>
      </c>
      <c r="B12" s="26">
        <v>500</v>
      </c>
      <c r="C12" s="214"/>
      <c r="D12" s="217"/>
      <c r="F12" s="205"/>
    </row>
    <row r="13" spans="1:9" x14ac:dyDescent="0.25">
      <c r="A13" s="118" t="s">
        <v>181</v>
      </c>
      <c r="B13" s="166">
        <f>+'SHEET A'!C10*B12</f>
        <v>899.99999999999989</v>
      </c>
      <c r="C13" s="214"/>
      <c r="D13" s="217"/>
      <c r="F13" s="205"/>
    </row>
    <row r="14" spans="1:9" x14ac:dyDescent="0.25">
      <c r="A14" s="118" t="s">
        <v>182</v>
      </c>
      <c r="B14" s="166">
        <f>+'SHEET A'!C7*B11</f>
        <v>120</v>
      </c>
      <c r="C14" s="214"/>
      <c r="D14" s="217"/>
      <c r="F14" s="205"/>
    </row>
    <row r="15" spans="1:9" x14ac:dyDescent="0.25">
      <c r="A15" s="118" t="s">
        <v>240</v>
      </c>
      <c r="B15" s="166">
        <f>'SHEET A'!C7*B12</f>
        <v>600</v>
      </c>
      <c r="C15" s="214"/>
      <c r="D15" s="217"/>
      <c r="F15" s="205"/>
    </row>
    <row r="16" spans="1:9" x14ac:dyDescent="0.25">
      <c r="A16" s="118" t="s">
        <v>183</v>
      </c>
      <c r="B16" s="166">
        <f>+'SHEET A'!C9*B12</f>
        <v>899.99999999999989</v>
      </c>
      <c r="C16" s="214"/>
      <c r="D16" s="217"/>
      <c r="F16" s="205"/>
    </row>
    <row r="17" spans="1:6" x14ac:dyDescent="0.25">
      <c r="A17" s="25" t="s">
        <v>239</v>
      </c>
      <c r="B17" s="26">
        <v>2</v>
      </c>
      <c r="C17" s="214"/>
      <c r="D17" s="217"/>
      <c r="F17" s="205"/>
    </row>
    <row r="18" spans="1:6" x14ac:dyDescent="0.25">
      <c r="A18" s="118" t="s">
        <v>241</v>
      </c>
      <c r="B18" s="143">
        <f>+'SHEET A'!C5*B17*B12</f>
        <v>60</v>
      </c>
      <c r="C18" s="214"/>
      <c r="D18" s="217"/>
      <c r="F18" s="205"/>
    </row>
    <row r="19" spans="1:6" x14ac:dyDescent="0.25">
      <c r="A19" s="118" t="s">
        <v>242</v>
      </c>
      <c r="B19" s="143">
        <f>+'SHEET A'!C6*B17*B12</f>
        <v>300</v>
      </c>
      <c r="C19" s="214"/>
      <c r="D19" s="217"/>
      <c r="F19" s="205"/>
    </row>
    <row r="20" spans="1:6" x14ac:dyDescent="0.25">
      <c r="A20" s="118" t="s">
        <v>244</v>
      </c>
      <c r="B20" s="143">
        <f>+'SHEET A'!C8*B12</f>
        <v>2250</v>
      </c>
      <c r="C20" s="214"/>
      <c r="D20" s="217"/>
      <c r="F20" s="205"/>
    </row>
    <row r="21" spans="1:6" ht="15.75" thickBot="1" x14ac:dyDescent="0.3">
      <c r="A21" s="27" t="s">
        <v>245</v>
      </c>
      <c r="B21" s="80">
        <f>B13+B19+B15+B18+B20+B14+B16</f>
        <v>5130</v>
      </c>
      <c r="C21" s="215"/>
      <c r="D21" s="218"/>
      <c r="F21" s="205"/>
    </row>
    <row r="22" spans="1:6" ht="15.75" thickBot="1" x14ac:dyDescent="0.3">
      <c r="A22" s="138" t="s">
        <v>106</v>
      </c>
      <c r="B22" s="1"/>
      <c r="C22" s="2"/>
      <c r="D22" s="3"/>
      <c r="F22" s="205"/>
    </row>
    <row r="23" spans="1:6" x14ac:dyDescent="0.25">
      <c r="A23" s="134" t="s">
        <v>176</v>
      </c>
      <c r="B23" s="135">
        <v>500</v>
      </c>
      <c r="C23" s="207">
        <v>30</v>
      </c>
      <c r="D23" s="210">
        <f>C23/12</f>
        <v>2.5</v>
      </c>
      <c r="F23" s="205"/>
    </row>
    <row r="24" spans="1:6" x14ac:dyDescent="0.25">
      <c r="A24" s="144" t="s">
        <v>246</v>
      </c>
      <c r="B24" s="139">
        <f>'SHEET A'!C21*B23</f>
        <v>150</v>
      </c>
      <c r="C24" s="208"/>
      <c r="D24" s="211"/>
      <c r="F24" s="205"/>
    </row>
    <row r="25" spans="1:6" x14ac:dyDescent="0.25">
      <c r="A25" s="144" t="s">
        <v>290</v>
      </c>
      <c r="B25" s="139">
        <f>'SHEET A'!C22*B23*2.5</f>
        <v>5625</v>
      </c>
      <c r="C25" s="208"/>
      <c r="D25" s="211"/>
      <c r="F25" s="205"/>
    </row>
    <row r="26" spans="1:6" x14ac:dyDescent="0.25">
      <c r="A26" s="170" t="s">
        <v>286</v>
      </c>
      <c r="B26" s="172">
        <v>100</v>
      </c>
      <c r="C26" s="208"/>
      <c r="D26" s="211"/>
      <c r="F26" s="205"/>
    </row>
    <row r="27" spans="1:6" x14ac:dyDescent="0.25">
      <c r="A27" s="170" t="s">
        <v>287</v>
      </c>
      <c r="B27" s="173">
        <f>'SHEET A'!C23</f>
        <v>1.7999999999999998</v>
      </c>
      <c r="C27" s="208"/>
      <c r="D27" s="211"/>
      <c r="F27" s="205"/>
    </row>
    <row r="28" spans="1:6" x14ac:dyDescent="0.25">
      <c r="A28" s="144" t="s">
        <v>288</v>
      </c>
      <c r="B28" s="174">
        <f>B26*B27</f>
        <v>179.99999999999997</v>
      </c>
      <c r="C28" s="208"/>
      <c r="D28" s="211"/>
      <c r="F28" s="205"/>
    </row>
    <row r="29" spans="1:6" ht="15.75" thickBot="1" x14ac:dyDescent="0.3">
      <c r="A29" s="136" t="s">
        <v>154</v>
      </c>
      <c r="B29" s="137">
        <f>+B24+B25+B28</f>
        <v>5955</v>
      </c>
      <c r="C29" s="209"/>
      <c r="D29" s="212"/>
      <c r="F29" s="206"/>
    </row>
    <row r="30" spans="1:6" ht="15.75" thickBot="1" x14ac:dyDescent="0.3">
      <c r="A30" s="115" t="s">
        <v>109</v>
      </c>
      <c r="B30" s="116">
        <f>+B21+B29</f>
        <v>11085</v>
      </c>
      <c r="C30" s="7"/>
      <c r="D30" s="7"/>
    </row>
    <row r="31" spans="1:6" ht="15.75" thickBot="1" x14ac:dyDescent="0.3">
      <c r="A31" s="23" t="s">
        <v>121</v>
      </c>
      <c r="B31" s="1"/>
      <c r="C31" s="15"/>
      <c r="D31" s="15"/>
    </row>
    <row r="32" spans="1:6" x14ac:dyDescent="0.25">
      <c r="A32" s="24" t="s">
        <v>114</v>
      </c>
      <c r="B32" s="90">
        <f>'SHEET A'!C12</f>
        <v>0.06</v>
      </c>
      <c r="C32" s="213">
        <v>3</v>
      </c>
      <c r="D32" s="216">
        <f>C32/12</f>
        <v>0.25</v>
      </c>
      <c r="F32" s="204" t="s">
        <v>223</v>
      </c>
    </row>
    <row r="33" spans="1:6" x14ac:dyDescent="0.25">
      <c r="A33" s="25" t="s">
        <v>289</v>
      </c>
      <c r="B33" s="26">
        <v>100</v>
      </c>
      <c r="C33" s="214"/>
      <c r="D33" s="217"/>
      <c r="F33" s="205"/>
    </row>
    <row r="34" spans="1:6" x14ac:dyDescent="0.25">
      <c r="A34" s="25" t="s">
        <v>78</v>
      </c>
      <c r="B34" s="26">
        <v>30</v>
      </c>
      <c r="C34" s="214"/>
      <c r="D34" s="217"/>
      <c r="F34" s="205"/>
    </row>
    <row r="35" spans="1:6" x14ac:dyDescent="0.25">
      <c r="A35" s="25" t="s">
        <v>7</v>
      </c>
      <c r="B35" s="26">
        <f>B33*B34</f>
        <v>3000</v>
      </c>
      <c r="C35" s="214"/>
      <c r="D35" s="217"/>
      <c r="F35" s="205"/>
    </row>
    <row r="36" spans="1:6" ht="15.75" thickBot="1" x14ac:dyDescent="0.3">
      <c r="A36" s="27" t="s">
        <v>172</v>
      </c>
      <c r="B36" s="91">
        <f>B32*B35</f>
        <v>180</v>
      </c>
      <c r="C36" s="215"/>
      <c r="D36" s="218"/>
      <c r="F36" s="205"/>
    </row>
    <row r="37" spans="1:6" ht="15.75" thickBot="1" x14ac:dyDescent="0.3">
      <c r="A37" s="23" t="s">
        <v>34</v>
      </c>
      <c r="B37" s="12"/>
      <c r="C37" s="28"/>
      <c r="D37" s="28"/>
      <c r="F37" s="205"/>
    </row>
    <row r="38" spans="1:6" x14ac:dyDescent="0.25">
      <c r="A38" s="24" t="s">
        <v>115</v>
      </c>
      <c r="B38" s="111">
        <v>100</v>
      </c>
      <c r="C38" s="213">
        <v>3</v>
      </c>
      <c r="D38" s="216">
        <f>C38/12</f>
        <v>0.25</v>
      </c>
      <c r="F38" s="205"/>
    </row>
    <row r="39" spans="1:6" x14ac:dyDescent="0.25">
      <c r="A39" s="25" t="s">
        <v>116</v>
      </c>
      <c r="B39" s="26">
        <v>20</v>
      </c>
      <c r="C39" s="214"/>
      <c r="D39" s="217"/>
      <c r="F39" s="205"/>
    </row>
    <row r="40" spans="1:6" x14ac:dyDescent="0.25">
      <c r="A40" s="25" t="s">
        <v>13</v>
      </c>
      <c r="B40" s="112">
        <f>'SHEET A'!C15</f>
        <v>24</v>
      </c>
      <c r="C40" s="214"/>
      <c r="D40" s="217"/>
      <c r="F40" s="205"/>
    </row>
    <row r="41" spans="1:6" x14ac:dyDescent="0.25">
      <c r="A41" s="25" t="s">
        <v>117</v>
      </c>
      <c r="B41" s="113">
        <f>B38*B40*B39</f>
        <v>48000</v>
      </c>
      <c r="C41" s="214"/>
      <c r="D41" s="217"/>
      <c r="F41" s="205"/>
    </row>
    <row r="42" spans="1:6" x14ac:dyDescent="0.25">
      <c r="A42" s="25" t="s">
        <v>118</v>
      </c>
      <c r="B42" s="26">
        <v>100</v>
      </c>
      <c r="C42" s="214"/>
      <c r="D42" s="217"/>
      <c r="F42" s="205"/>
    </row>
    <row r="43" spans="1:6" x14ac:dyDescent="0.25">
      <c r="A43" s="118" t="s">
        <v>217</v>
      </c>
      <c r="B43" s="117">
        <f>(B39*B33)</f>
        <v>2000</v>
      </c>
      <c r="C43" s="214"/>
      <c r="D43" s="217"/>
      <c r="F43" s="205"/>
    </row>
    <row r="44" spans="1:6" ht="15.75" thickBot="1" x14ac:dyDescent="0.3">
      <c r="A44" s="27" t="s">
        <v>225</v>
      </c>
      <c r="B44" s="91">
        <f>'SHEET A'!C32*B43</f>
        <v>960</v>
      </c>
      <c r="C44" s="110"/>
      <c r="D44" s="109"/>
      <c r="F44" s="205"/>
    </row>
    <row r="45" spans="1:6" ht="15.75" thickBot="1" x14ac:dyDescent="0.3">
      <c r="A45" s="23" t="s">
        <v>79</v>
      </c>
      <c r="B45" s="12"/>
      <c r="C45" s="28"/>
      <c r="D45" s="28"/>
      <c r="F45" s="205"/>
    </row>
    <row r="46" spans="1:6" x14ac:dyDescent="0.25">
      <c r="A46" s="24" t="s">
        <v>248</v>
      </c>
      <c r="B46" s="111">
        <v>100</v>
      </c>
      <c r="C46" s="213">
        <v>6</v>
      </c>
      <c r="D46" s="216">
        <f>C46/12</f>
        <v>0.5</v>
      </c>
      <c r="F46" s="205"/>
    </row>
    <row r="47" spans="1:6" x14ac:dyDescent="0.25">
      <c r="A47" s="25" t="s">
        <v>119</v>
      </c>
      <c r="B47" s="114">
        <f>'SHEET A'!C13</f>
        <v>0.15</v>
      </c>
      <c r="C47" s="214"/>
      <c r="D47" s="217"/>
      <c r="F47" s="205"/>
    </row>
    <row r="48" spans="1:6" x14ac:dyDescent="0.25">
      <c r="A48" s="25" t="s">
        <v>82</v>
      </c>
      <c r="B48" s="26">
        <v>5</v>
      </c>
      <c r="C48" s="214"/>
      <c r="D48" s="217"/>
      <c r="F48" s="205"/>
    </row>
    <row r="49" spans="1:6" ht="15.75" thickBot="1" x14ac:dyDescent="0.3">
      <c r="A49" s="27" t="s">
        <v>81</v>
      </c>
      <c r="B49" s="91">
        <f>(B46*B47)*B48</f>
        <v>75</v>
      </c>
      <c r="C49" s="215"/>
      <c r="D49" s="218"/>
      <c r="F49" s="205"/>
    </row>
    <row r="50" spans="1:6" ht="15.75" thickBot="1" x14ac:dyDescent="0.3">
      <c r="A50" s="23" t="s">
        <v>120</v>
      </c>
      <c r="B50" s="1"/>
      <c r="C50" s="15"/>
      <c r="D50" s="15"/>
      <c r="F50" s="205"/>
    </row>
    <row r="51" spans="1:6" x14ac:dyDescent="0.25">
      <c r="A51" s="24" t="s">
        <v>249</v>
      </c>
      <c r="B51" s="111">
        <v>100</v>
      </c>
      <c r="C51" s="213">
        <v>12</v>
      </c>
      <c r="D51" s="216">
        <f>C51/12</f>
        <v>1</v>
      </c>
      <c r="F51" s="205"/>
    </row>
    <row r="52" spans="1:6" x14ac:dyDescent="0.25">
      <c r="A52" s="25" t="s">
        <v>250</v>
      </c>
      <c r="B52" s="26">
        <v>500</v>
      </c>
      <c r="C52" s="214"/>
      <c r="D52" s="217"/>
      <c r="F52" s="205"/>
    </row>
    <row r="53" spans="1:6" x14ac:dyDescent="0.25">
      <c r="A53" s="118" t="s">
        <v>275</v>
      </c>
      <c r="B53" s="143">
        <f>+'SHEET A'!C10*B52</f>
        <v>899.99999999999989</v>
      </c>
      <c r="C53" s="214"/>
      <c r="D53" s="217"/>
      <c r="F53" s="205"/>
    </row>
    <row r="54" spans="1:6" x14ac:dyDescent="0.25">
      <c r="A54" s="25" t="s">
        <v>175</v>
      </c>
      <c r="B54" s="26">
        <v>2</v>
      </c>
      <c r="C54" s="214"/>
      <c r="D54" s="217"/>
      <c r="F54" s="205"/>
    </row>
    <row r="55" spans="1:6" x14ac:dyDescent="0.25">
      <c r="A55" s="118" t="s">
        <v>241</v>
      </c>
      <c r="B55" s="143">
        <f>+'SHEET A'!C5*B54*B52</f>
        <v>60</v>
      </c>
      <c r="C55" s="214"/>
      <c r="D55" s="217"/>
      <c r="F55" s="205"/>
    </row>
    <row r="56" spans="1:6" x14ac:dyDescent="0.25">
      <c r="A56" s="118" t="s">
        <v>251</v>
      </c>
      <c r="B56" s="143">
        <f>+'SHEET A'!C6*B54*B52</f>
        <v>300</v>
      </c>
      <c r="C56" s="214"/>
      <c r="D56" s="217"/>
      <c r="F56" s="205"/>
    </row>
    <row r="57" spans="1:6" x14ac:dyDescent="0.25">
      <c r="A57" s="118" t="s">
        <v>244</v>
      </c>
      <c r="B57" s="143">
        <f>+'SHEET A'!C8*B52</f>
        <v>2250</v>
      </c>
      <c r="C57" s="214"/>
      <c r="D57" s="217"/>
      <c r="F57" s="205"/>
    </row>
    <row r="58" spans="1:6" ht="15.75" thickBot="1" x14ac:dyDescent="0.3">
      <c r="A58" s="27" t="s">
        <v>245</v>
      </c>
      <c r="B58" s="80">
        <f>B56+B55+B57+B53</f>
        <v>3510</v>
      </c>
      <c r="C58" s="215"/>
      <c r="D58" s="218"/>
      <c r="F58" s="205"/>
    </row>
    <row r="59" spans="1:6" ht="15.75" thickBot="1" x14ac:dyDescent="0.3">
      <c r="A59" s="115" t="s">
        <v>108</v>
      </c>
      <c r="B59" s="116">
        <f>+B36+B41+B44+B49+B58</f>
        <v>52725</v>
      </c>
      <c r="C59" s="103"/>
      <c r="D59" s="38"/>
      <c r="F59" s="205"/>
    </row>
    <row r="60" spans="1:6" ht="15.75" thickBot="1" x14ac:dyDescent="0.3">
      <c r="A60" s="138" t="s">
        <v>103</v>
      </c>
      <c r="B60" s="1"/>
      <c r="C60" s="2"/>
      <c r="D60" s="3"/>
      <c r="F60" s="205"/>
    </row>
    <row r="61" spans="1:6" x14ac:dyDescent="0.25">
      <c r="A61" s="134" t="s">
        <v>176</v>
      </c>
      <c r="B61" s="135">
        <v>500</v>
      </c>
      <c r="C61" s="207">
        <v>30</v>
      </c>
      <c r="D61" s="210">
        <f>C61/12</f>
        <v>2.5</v>
      </c>
      <c r="F61" s="205"/>
    </row>
    <row r="62" spans="1:6" x14ac:dyDescent="0.25">
      <c r="A62" s="144" t="s">
        <v>246</v>
      </c>
      <c r="B62" s="139">
        <f>'SHEET A'!C21*B61</f>
        <v>150</v>
      </c>
      <c r="C62" s="208"/>
      <c r="D62" s="211"/>
      <c r="F62" s="205"/>
    </row>
    <row r="63" spans="1:6" x14ac:dyDescent="0.25">
      <c r="A63" s="144" t="s">
        <v>247</v>
      </c>
      <c r="B63" s="139">
        <f>'SHEET A'!C22*B61*2.5</f>
        <v>5625</v>
      </c>
      <c r="C63" s="208"/>
      <c r="D63" s="211"/>
      <c r="F63" s="205"/>
    </row>
    <row r="64" spans="1:6" x14ac:dyDescent="0.25">
      <c r="A64" s="170" t="s">
        <v>286</v>
      </c>
      <c r="B64" s="172">
        <v>100</v>
      </c>
      <c r="C64" s="208"/>
      <c r="D64" s="211"/>
      <c r="F64" s="205"/>
    </row>
    <row r="65" spans="1:6" x14ac:dyDescent="0.25">
      <c r="A65" s="170" t="s">
        <v>287</v>
      </c>
      <c r="B65" s="173">
        <f>'SHEET A'!C23</f>
        <v>1.7999999999999998</v>
      </c>
      <c r="C65" s="208"/>
      <c r="D65" s="211"/>
      <c r="F65" s="205"/>
    </row>
    <row r="66" spans="1:6" x14ac:dyDescent="0.25">
      <c r="A66" s="144" t="s">
        <v>288</v>
      </c>
      <c r="B66" s="174">
        <f>B64*B65</f>
        <v>179.99999999999997</v>
      </c>
      <c r="C66" s="208"/>
      <c r="D66" s="211"/>
      <c r="F66" s="205"/>
    </row>
    <row r="67" spans="1:6" ht="15.75" thickBot="1" x14ac:dyDescent="0.3">
      <c r="A67" s="136" t="s">
        <v>154</v>
      </c>
      <c r="B67" s="137">
        <f>+B62+B63+B66</f>
        <v>5955</v>
      </c>
      <c r="C67" s="209"/>
      <c r="D67" s="212"/>
      <c r="F67" s="206"/>
    </row>
    <row r="68" spans="1:6" ht="15.75" thickBot="1" x14ac:dyDescent="0.3">
      <c r="A68" s="115" t="s">
        <v>108</v>
      </c>
      <c r="B68" s="116">
        <f>+B36+B41+B44+B49+B58+B67</f>
        <v>58680</v>
      </c>
      <c r="C68" s="103"/>
      <c r="D68" s="38"/>
    </row>
    <row r="69" spans="1:6" ht="15.75" thickBot="1" x14ac:dyDescent="0.3">
      <c r="A69" s="23" t="s">
        <v>129</v>
      </c>
      <c r="B69" s="1"/>
      <c r="C69" s="15"/>
      <c r="D69" s="15"/>
    </row>
    <row r="70" spans="1:6" x14ac:dyDescent="0.25">
      <c r="A70" s="24" t="s">
        <v>114</v>
      </c>
      <c r="B70" s="90">
        <f>'SHEET A'!C12</f>
        <v>0.06</v>
      </c>
      <c r="C70" s="213">
        <v>3</v>
      </c>
      <c r="D70" s="216">
        <f>C70/12</f>
        <v>0.25</v>
      </c>
      <c r="F70" s="204" t="s">
        <v>253</v>
      </c>
    </row>
    <row r="71" spans="1:6" x14ac:dyDescent="0.25">
      <c r="A71" s="25" t="s">
        <v>289</v>
      </c>
      <c r="B71" s="26">
        <v>100</v>
      </c>
      <c r="C71" s="214"/>
      <c r="D71" s="217"/>
      <c r="F71" s="205"/>
    </row>
    <row r="72" spans="1:6" x14ac:dyDescent="0.25">
      <c r="A72" s="25" t="s">
        <v>78</v>
      </c>
      <c r="B72" s="26">
        <v>30</v>
      </c>
      <c r="C72" s="214"/>
      <c r="D72" s="217"/>
      <c r="F72" s="205"/>
    </row>
    <row r="73" spans="1:6" x14ac:dyDescent="0.25">
      <c r="A73" s="25" t="s">
        <v>7</v>
      </c>
      <c r="B73" s="26">
        <f>B71*B72</f>
        <v>3000</v>
      </c>
      <c r="C73" s="214"/>
      <c r="D73" s="217"/>
      <c r="F73" s="205"/>
    </row>
    <row r="74" spans="1:6" ht="15.75" thickBot="1" x14ac:dyDescent="0.3">
      <c r="A74" s="27" t="s">
        <v>23</v>
      </c>
      <c r="B74" s="91">
        <f>B70*B73</f>
        <v>180</v>
      </c>
      <c r="C74" s="215"/>
      <c r="D74" s="218"/>
      <c r="F74" s="205"/>
    </row>
    <row r="75" spans="1:6" ht="15.75" thickBot="1" x14ac:dyDescent="0.3">
      <c r="A75" s="23" t="s">
        <v>74</v>
      </c>
      <c r="B75" s="12"/>
      <c r="C75" s="28"/>
      <c r="D75" s="28"/>
      <c r="F75" s="205"/>
    </row>
    <row r="76" spans="1:6" x14ac:dyDescent="0.25">
      <c r="A76" s="24" t="s">
        <v>115</v>
      </c>
      <c r="B76" s="111">
        <v>100</v>
      </c>
      <c r="C76" s="213">
        <v>3</v>
      </c>
      <c r="D76" s="216">
        <f>C76/12</f>
        <v>0.25</v>
      </c>
      <c r="F76" s="205"/>
    </row>
    <row r="77" spans="1:6" x14ac:dyDescent="0.25">
      <c r="A77" s="25" t="s">
        <v>116</v>
      </c>
      <c r="B77" s="26">
        <v>20</v>
      </c>
      <c r="C77" s="214"/>
      <c r="D77" s="217"/>
      <c r="F77" s="205"/>
    </row>
    <row r="78" spans="1:6" x14ac:dyDescent="0.25">
      <c r="A78" s="25" t="s">
        <v>13</v>
      </c>
      <c r="B78" s="112">
        <f>'SHEET A'!C15</f>
        <v>24</v>
      </c>
      <c r="C78" s="214"/>
      <c r="D78" s="217"/>
      <c r="F78" s="205"/>
    </row>
    <row r="79" spans="1:6" x14ac:dyDescent="0.25">
      <c r="A79" s="25" t="s">
        <v>117</v>
      </c>
      <c r="B79" s="113">
        <f>B76*B78*B77</f>
        <v>48000</v>
      </c>
      <c r="C79" s="214"/>
      <c r="D79" s="217"/>
      <c r="F79" s="205"/>
    </row>
    <row r="80" spans="1:6" x14ac:dyDescent="0.25">
      <c r="A80" s="25" t="s">
        <v>118</v>
      </c>
      <c r="B80" s="26">
        <v>100</v>
      </c>
      <c r="C80" s="214"/>
      <c r="D80" s="217"/>
      <c r="F80" s="205"/>
    </row>
    <row r="81" spans="1:6" x14ac:dyDescent="0.25">
      <c r="A81" s="118" t="s">
        <v>217</v>
      </c>
      <c r="B81" s="117">
        <f>(B77*B71)</f>
        <v>2000</v>
      </c>
      <c r="C81" s="214"/>
      <c r="D81" s="217"/>
      <c r="F81" s="205"/>
    </row>
    <row r="82" spans="1:6" ht="15.75" thickBot="1" x14ac:dyDescent="0.3">
      <c r="A82" s="27" t="s">
        <v>225</v>
      </c>
      <c r="B82" s="91">
        <f>'SHEET A'!C32*B81</f>
        <v>960</v>
      </c>
      <c r="C82" s="110"/>
      <c r="D82" s="109"/>
      <c r="F82" s="205"/>
    </row>
    <row r="83" spans="1:6" ht="15.75" thickBot="1" x14ac:dyDescent="0.3">
      <c r="A83" s="23" t="s">
        <v>84</v>
      </c>
      <c r="B83" s="12"/>
      <c r="C83" s="28"/>
      <c r="D83" s="28"/>
      <c r="F83" s="205"/>
    </row>
    <row r="84" spans="1:6" x14ac:dyDescent="0.25">
      <c r="A84" s="24" t="s">
        <v>122</v>
      </c>
      <c r="B84" s="111">
        <v>100</v>
      </c>
      <c r="C84" s="213">
        <v>6</v>
      </c>
      <c r="D84" s="216">
        <f>C84/12</f>
        <v>0.5</v>
      </c>
      <c r="F84" s="205"/>
    </row>
    <row r="85" spans="1:6" x14ac:dyDescent="0.25">
      <c r="A85" s="25" t="s">
        <v>119</v>
      </c>
      <c r="B85" s="114">
        <f>'SHEET A'!C13</f>
        <v>0.15</v>
      </c>
      <c r="C85" s="214"/>
      <c r="D85" s="217"/>
      <c r="F85" s="205"/>
    </row>
    <row r="86" spans="1:6" x14ac:dyDescent="0.25">
      <c r="A86" s="25" t="s">
        <v>82</v>
      </c>
      <c r="B86" s="26">
        <v>5</v>
      </c>
      <c r="C86" s="214"/>
      <c r="D86" s="217"/>
      <c r="F86" s="205"/>
    </row>
    <row r="87" spans="1:6" ht="15.75" thickBot="1" x14ac:dyDescent="0.3">
      <c r="A87" s="27" t="s">
        <v>81</v>
      </c>
      <c r="B87" s="91">
        <f>(B84*B85)*B86</f>
        <v>75</v>
      </c>
      <c r="C87" s="215"/>
      <c r="D87" s="218"/>
      <c r="F87" s="205"/>
    </row>
    <row r="88" spans="1:6" ht="15.75" thickBot="1" x14ac:dyDescent="0.3">
      <c r="A88" s="23" t="s">
        <v>123</v>
      </c>
      <c r="B88" s="1"/>
      <c r="C88" s="15"/>
      <c r="D88" s="15"/>
      <c r="F88" s="205"/>
    </row>
    <row r="89" spans="1:6" x14ac:dyDescent="0.25">
      <c r="A89" s="24" t="s">
        <v>249</v>
      </c>
      <c r="B89" s="111">
        <v>100</v>
      </c>
      <c r="C89" s="213">
        <v>12</v>
      </c>
      <c r="D89" s="216">
        <f>C89/12</f>
        <v>1</v>
      </c>
      <c r="F89" s="205"/>
    </row>
    <row r="90" spans="1:6" x14ac:dyDescent="0.25">
      <c r="A90" s="25" t="s">
        <v>250</v>
      </c>
      <c r="B90" s="26">
        <v>500</v>
      </c>
      <c r="C90" s="214"/>
      <c r="D90" s="217"/>
      <c r="F90" s="205"/>
    </row>
    <row r="91" spans="1:6" x14ac:dyDescent="0.25">
      <c r="A91" s="118" t="s">
        <v>275</v>
      </c>
      <c r="B91" s="143">
        <f>+'SHEET A'!C10*B90</f>
        <v>899.99999999999989</v>
      </c>
      <c r="C91" s="214"/>
      <c r="D91" s="217"/>
      <c r="F91" s="205"/>
    </row>
    <row r="92" spans="1:6" x14ac:dyDescent="0.25">
      <c r="A92" s="25" t="s">
        <v>175</v>
      </c>
      <c r="B92" s="26">
        <v>2</v>
      </c>
      <c r="C92" s="214"/>
      <c r="D92" s="217"/>
      <c r="F92" s="205"/>
    </row>
    <row r="93" spans="1:6" x14ac:dyDescent="0.25">
      <c r="A93" s="118" t="s">
        <v>241</v>
      </c>
      <c r="B93" s="143">
        <f>'SHEET A'!C5*B92*B90</f>
        <v>60</v>
      </c>
      <c r="C93" s="214"/>
      <c r="D93" s="217"/>
      <c r="F93" s="205"/>
    </row>
    <row r="94" spans="1:6" x14ac:dyDescent="0.25">
      <c r="A94" s="118" t="s">
        <v>251</v>
      </c>
      <c r="B94" s="143">
        <f>+'SHEET A'!C6*B92*B90</f>
        <v>300</v>
      </c>
      <c r="C94" s="214"/>
      <c r="D94" s="217"/>
      <c r="F94" s="205"/>
    </row>
    <row r="95" spans="1:6" x14ac:dyDescent="0.25">
      <c r="A95" s="118" t="s">
        <v>244</v>
      </c>
      <c r="B95" s="143">
        <f>+'SHEET A'!C8*B90</f>
        <v>2250</v>
      </c>
      <c r="C95" s="214"/>
      <c r="D95" s="217"/>
      <c r="F95" s="205"/>
    </row>
    <row r="96" spans="1:6" ht="15.75" thickBot="1" x14ac:dyDescent="0.3">
      <c r="A96" s="27" t="s">
        <v>245</v>
      </c>
      <c r="B96" s="80">
        <f>B94+B93+B95+B91</f>
        <v>3510</v>
      </c>
      <c r="C96" s="215"/>
      <c r="D96" s="218"/>
      <c r="F96" s="205"/>
    </row>
    <row r="97" spans="1:6" ht="15.75" thickBot="1" x14ac:dyDescent="0.3">
      <c r="A97" s="115" t="s">
        <v>108</v>
      </c>
      <c r="B97" s="116">
        <f>+B74+B79+B82+B87+B96</f>
        <v>52725</v>
      </c>
      <c r="C97" s="103"/>
      <c r="D97" s="38"/>
      <c r="F97" s="205"/>
    </row>
    <row r="98" spans="1:6" ht="15.75" thickBot="1" x14ac:dyDescent="0.3">
      <c r="A98" s="138" t="s">
        <v>124</v>
      </c>
      <c r="B98" s="1"/>
      <c r="C98" s="2"/>
      <c r="D98" s="3"/>
      <c r="F98" s="205"/>
    </row>
    <row r="99" spans="1:6" x14ac:dyDescent="0.25">
      <c r="A99" s="134" t="s">
        <v>176</v>
      </c>
      <c r="B99" s="135">
        <v>500</v>
      </c>
      <c r="C99" s="207">
        <v>30</v>
      </c>
      <c r="D99" s="210">
        <f>C99/12</f>
        <v>2.5</v>
      </c>
      <c r="F99" s="205"/>
    </row>
    <row r="100" spans="1:6" x14ac:dyDescent="0.25">
      <c r="A100" s="144" t="s">
        <v>246</v>
      </c>
      <c r="B100" s="139">
        <f>'SHEET A'!C21*B99</f>
        <v>150</v>
      </c>
      <c r="C100" s="208"/>
      <c r="D100" s="211"/>
      <c r="F100" s="205"/>
    </row>
    <row r="101" spans="1:6" x14ac:dyDescent="0.25">
      <c r="A101" s="144" t="s">
        <v>179</v>
      </c>
      <c r="B101" s="139">
        <f>'SHEET A'!C22*B99*2.5</f>
        <v>5625</v>
      </c>
      <c r="C101" s="208"/>
      <c r="D101" s="211"/>
      <c r="F101" s="205"/>
    </row>
    <row r="102" spans="1:6" x14ac:dyDescent="0.25">
      <c r="A102" s="170" t="s">
        <v>286</v>
      </c>
      <c r="B102" s="172">
        <v>100</v>
      </c>
      <c r="C102" s="208"/>
      <c r="D102" s="211"/>
      <c r="F102" s="205"/>
    </row>
    <row r="103" spans="1:6" x14ac:dyDescent="0.25">
      <c r="A103" s="170" t="s">
        <v>287</v>
      </c>
      <c r="B103" s="173">
        <f>'SHEET A'!C23</f>
        <v>1.7999999999999998</v>
      </c>
      <c r="C103" s="208"/>
      <c r="D103" s="211"/>
      <c r="F103" s="205"/>
    </row>
    <row r="104" spans="1:6" x14ac:dyDescent="0.25">
      <c r="A104" s="144" t="s">
        <v>288</v>
      </c>
      <c r="B104" s="174">
        <f>B102*B103</f>
        <v>179.99999999999997</v>
      </c>
      <c r="C104" s="208"/>
      <c r="D104" s="211"/>
      <c r="F104" s="205"/>
    </row>
    <row r="105" spans="1:6" ht="15.75" thickBot="1" x14ac:dyDescent="0.3">
      <c r="A105" s="136" t="s">
        <v>154</v>
      </c>
      <c r="B105" s="137">
        <f>+B100+B101+B104</f>
        <v>5955</v>
      </c>
      <c r="C105" s="209"/>
      <c r="D105" s="212"/>
      <c r="F105" s="206"/>
    </row>
    <row r="106" spans="1:6" ht="15.75" thickBot="1" x14ac:dyDescent="0.3">
      <c r="A106" s="115" t="s">
        <v>110</v>
      </c>
      <c r="B106" s="116">
        <f>+B74+B79+B82+B87+B96+B105</f>
        <v>58680</v>
      </c>
      <c r="C106" s="103"/>
      <c r="D106" s="38"/>
    </row>
    <row r="107" spans="1:6" ht="15.75" thickBot="1" x14ac:dyDescent="0.3">
      <c r="A107" s="23" t="s">
        <v>127</v>
      </c>
      <c r="B107" s="1"/>
      <c r="C107" s="15"/>
      <c r="D107" s="15"/>
    </row>
    <row r="108" spans="1:6" x14ac:dyDescent="0.25">
      <c r="A108" s="24" t="s">
        <v>114</v>
      </c>
      <c r="B108" s="90">
        <f>'SHEET A'!C12</f>
        <v>0.06</v>
      </c>
      <c r="C108" s="213">
        <v>3</v>
      </c>
      <c r="D108" s="216">
        <f>C108/12</f>
        <v>0.25</v>
      </c>
      <c r="F108" s="204" t="s">
        <v>254</v>
      </c>
    </row>
    <row r="109" spans="1:6" x14ac:dyDescent="0.25">
      <c r="A109" s="25" t="s">
        <v>289</v>
      </c>
      <c r="B109" s="26">
        <v>100</v>
      </c>
      <c r="C109" s="214"/>
      <c r="D109" s="217"/>
      <c r="F109" s="205"/>
    </row>
    <row r="110" spans="1:6" x14ac:dyDescent="0.25">
      <c r="A110" s="25" t="s">
        <v>78</v>
      </c>
      <c r="B110" s="26">
        <v>30</v>
      </c>
      <c r="C110" s="214"/>
      <c r="D110" s="217"/>
      <c r="F110" s="205"/>
    </row>
    <row r="111" spans="1:6" x14ac:dyDescent="0.25">
      <c r="A111" s="25" t="s">
        <v>7</v>
      </c>
      <c r="B111" s="26">
        <f>B109*B110</f>
        <v>3000</v>
      </c>
      <c r="C111" s="214"/>
      <c r="D111" s="217"/>
      <c r="F111" s="205"/>
    </row>
    <row r="112" spans="1:6" ht="15.75" thickBot="1" x14ac:dyDescent="0.3">
      <c r="A112" s="27" t="s">
        <v>23</v>
      </c>
      <c r="B112" s="91">
        <f>B108*B111</f>
        <v>180</v>
      </c>
      <c r="C112" s="215"/>
      <c r="D112" s="218"/>
      <c r="F112" s="205"/>
    </row>
    <row r="113" spans="1:6" ht="15.75" thickBot="1" x14ac:dyDescent="0.3">
      <c r="A113" s="23" t="s">
        <v>134</v>
      </c>
      <c r="B113" s="12"/>
      <c r="C113" s="28"/>
      <c r="D113" s="28"/>
      <c r="F113" s="205"/>
    </row>
    <row r="114" spans="1:6" x14ac:dyDescent="0.25">
      <c r="A114" s="24" t="s">
        <v>115</v>
      </c>
      <c r="B114" s="111">
        <v>100</v>
      </c>
      <c r="C114" s="213">
        <v>3</v>
      </c>
      <c r="D114" s="216">
        <f>C114/12</f>
        <v>0.25</v>
      </c>
      <c r="F114" s="205"/>
    </row>
    <row r="115" spans="1:6" x14ac:dyDescent="0.25">
      <c r="A115" s="25" t="s">
        <v>116</v>
      </c>
      <c r="B115" s="26">
        <v>20</v>
      </c>
      <c r="C115" s="214"/>
      <c r="D115" s="217"/>
      <c r="F115" s="205"/>
    </row>
    <row r="116" spans="1:6" x14ac:dyDescent="0.25">
      <c r="A116" s="25" t="s">
        <v>13</v>
      </c>
      <c r="B116" s="112">
        <f>'SHEET A'!C15</f>
        <v>24</v>
      </c>
      <c r="C116" s="214"/>
      <c r="D116" s="217"/>
      <c r="F116" s="205"/>
    </row>
    <row r="117" spans="1:6" x14ac:dyDescent="0.25">
      <c r="A117" s="25" t="s">
        <v>117</v>
      </c>
      <c r="B117" s="113">
        <f>B114*B116*B115</f>
        <v>48000</v>
      </c>
      <c r="C117" s="214"/>
      <c r="D117" s="217"/>
      <c r="F117" s="205"/>
    </row>
    <row r="118" spans="1:6" x14ac:dyDescent="0.25">
      <c r="A118" s="25" t="s">
        <v>118</v>
      </c>
      <c r="B118" s="26">
        <v>100</v>
      </c>
      <c r="C118" s="214"/>
      <c r="D118" s="217"/>
      <c r="F118" s="205"/>
    </row>
    <row r="119" spans="1:6" x14ac:dyDescent="0.25">
      <c r="A119" s="118" t="s">
        <v>217</v>
      </c>
      <c r="B119" s="117">
        <f>(B115*B109)</f>
        <v>2000</v>
      </c>
      <c r="C119" s="214"/>
      <c r="D119" s="217"/>
      <c r="F119" s="205"/>
    </row>
    <row r="120" spans="1:6" ht="15.75" thickBot="1" x14ac:dyDescent="0.3">
      <c r="A120" s="27" t="s">
        <v>225</v>
      </c>
      <c r="B120" s="91">
        <f>'SHEET A'!C32*B119</f>
        <v>960</v>
      </c>
      <c r="C120" s="110"/>
      <c r="D120" s="109"/>
      <c r="F120" s="205"/>
    </row>
    <row r="121" spans="1:6" ht="15.75" thickBot="1" x14ac:dyDescent="0.3">
      <c r="A121" s="23" t="s">
        <v>84</v>
      </c>
      <c r="B121" s="12"/>
      <c r="C121" s="28"/>
      <c r="D121" s="28"/>
      <c r="F121" s="205"/>
    </row>
    <row r="122" spans="1:6" x14ac:dyDescent="0.25">
      <c r="A122" s="24" t="s">
        <v>136</v>
      </c>
      <c r="B122" s="111">
        <v>100</v>
      </c>
      <c r="C122" s="213">
        <v>6</v>
      </c>
      <c r="D122" s="216">
        <f>C122/12</f>
        <v>0.5</v>
      </c>
      <c r="F122" s="205"/>
    </row>
    <row r="123" spans="1:6" x14ac:dyDescent="0.25">
      <c r="A123" s="25" t="s">
        <v>119</v>
      </c>
      <c r="B123" s="114">
        <f>'SHEET A'!C13</f>
        <v>0.15</v>
      </c>
      <c r="C123" s="214"/>
      <c r="D123" s="217"/>
      <c r="F123" s="205"/>
    </row>
    <row r="124" spans="1:6" x14ac:dyDescent="0.25">
      <c r="A124" s="25" t="s">
        <v>82</v>
      </c>
      <c r="B124" s="26">
        <v>5</v>
      </c>
      <c r="C124" s="214"/>
      <c r="D124" s="217"/>
      <c r="F124" s="205"/>
    </row>
    <row r="125" spans="1:6" ht="15.75" thickBot="1" x14ac:dyDescent="0.3">
      <c r="A125" s="27" t="s">
        <v>81</v>
      </c>
      <c r="B125" s="91">
        <f>(B122*B123)*B124</f>
        <v>75</v>
      </c>
      <c r="C125" s="215"/>
      <c r="D125" s="218"/>
      <c r="F125" s="205"/>
    </row>
    <row r="126" spans="1:6" ht="15.75" thickBot="1" x14ac:dyDescent="0.3">
      <c r="A126" s="23" t="s">
        <v>125</v>
      </c>
      <c r="B126" s="1"/>
      <c r="C126" s="15"/>
      <c r="D126" s="15"/>
      <c r="F126" s="205"/>
    </row>
    <row r="127" spans="1:6" x14ac:dyDescent="0.25">
      <c r="A127" s="24" t="s">
        <v>249</v>
      </c>
      <c r="B127" s="111">
        <v>100</v>
      </c>
      <c r="C127" s="213">
        <v>12</v>
      </c>
      <c r="D127" s="216">
        <f>C127/12</f>
        <v>1</v>
      </c>
      <c r="F127" s="205"/>
    </row>
    <row r="128" spans="1:6" x14ac:dyDescent="0.25">
      <c r="A128" s="25" t="s">
        <v>250</v>
      </c>
      <c r="B128" s="26">
        <v>500</v>
      </c>
      <c r="C128" s="214"/>
      <c r="D128" s="217"/>
      <c r="F128" s="205"/>
    </row>
    <row r="129" spans="1:6" x14ac:dyDescent="0.25">
      <c r="A129" s="118" t="s">
        <v>275</v>
      </c>
      <c r="B129" s="143">
        <f>+'SHEET A'!C10*B128</f>
        <v>899.99999999999989</v>
      </c>
      <c r="C129" s="214"/>
      <c r="D129" s="217"/>
      <c r="F129" s="205"/>
    </row>
    <row r="130" spans="1:6" x14ac:dyDescent="0.25">
      <c r="A130" s="25" t="s">
        <v>175</v>
      </c>
      <c r="B130" s="26">
        <v>2</v>
      </c>
      <c r="C130" s="214"/>
      <c r="D130" s="217"/>
      <c r="F130" s="205"/>
    </row>
    <row r="131" spans="1:6" x14ac:dyDescent="0.25">
      <c r="A131" s="118" t="s">
        <v>241</v>
      </c>
      <c r="B131" s="143">
        <f>+'SHEET A'!C5*B130*B128</f>
        <v>60</v>
      </c>
      <c r="C131" s="214"/>
      <c r="D131" s="217"/>
      <c r="F131" s="205"/>
    </row>
    <row r="132" spans="1:6" x14ac:dyDescent="0.25">
      <c r="A132" s="118" t="s">
        <v>251</v>
      </c>
      <c r="B132" s="143">
        <f>+'SHEET A'!C6*B130*B128</f>
        <v>300</v>
      </c>
      <c r="C132" s="214"/>
      <c r="D132" s="217"/>
      <c r="F132" s="205"/>
    </row>
    <row r="133" spans="1:6" x14ac:dyDescent="0.25">
      <c r="A133" s="118" t="s">
        <v>244</v>
      </c>
      <c r="B133" s="143">
        <f>+'SHEET A'!C8*B128</f>
        <v>2250</v>
      </c>
      <c r="C133" s="214"/>
      <c r="D133" s="217"/>
      <c r="F133" s="205"/>
    </row>
    <row r="134" spans="1:6" ht="15.75" thickBot="1" x14ac:dyDescent="0.3">
      <c r="A134" s="27" t="s">
        <v>245</v>
      </c>
      <c r="B134" s="80">
        <f>B132+B131+B133+B129</f>
        <v>3510</v>
      </c>
      <c r="C134" s="215"/>
      <c r="D134" s="218"/>
      <c r="F134" s="205"/>
    </row>
    <row r="135" spans="1:6" ht="15.75" thickBot="1" x14ac:dyDescent="0.3">
      <c r="A135" s="115" t="s">
        <v>108</v>
      </c>
      <c r="B135" s="116">
        <f>+B112+B117+B120+B125+B134</f>
        <v>52725</v>
      </c>
      <c r="C135" s="103"/>
      <c r="D135" s="38"/>
      <c r="F135" s="205"/>
    </row>
    <row r="136" spans="1:6" ht="15.75" thickBot="1" x14ac:dyDescent="0.3">
      <c r="A136" s="138" t="s">
        <v>126</v>
      </c>
      <c r="B136" s="1"/>
      <c r="C136" s="2"/>
      <c r="D136" s="3"/>
      <c r="F136" s="205"/>
    </row>
    <row r="137" spans="1:6" x14ac:dyDescent="0.25">
      <c r="A137" s="134" t="s">
        <v>176</v>
      </c>
      <c r="B137" s="135">
        <v>500</v>
      </c>
      <c r="C137" s="207">
        <v>30</v>
      </c>
      <c r="D137" s="210">
        <f>C137/12</f>
        <v>2.5</v>
      </c>
      <c r="F137" s="205"/>
    </row>
    <row r="138" spans="1:6" x14ac:dyDescent="0.25">
      <c r="A138" s="144" t="s">
        <v>246</v>
      </c>
      <c r="B138" s="139">
        <f>'SHEET A'!C21*B137</f>
        <v>150</v>
      </c>
      <c r="C138" s="208"/>
      <c r="D138" s="211"/>
      <c r="F138" s="205"/>
    </row>
    <row r="139" spans="1:6" x14ac:dyDescent="0.25">
      <c r="A139" s="144" t="s">
        <v>247</v>
      </c>
      <c r="B139" s="139">
        <f>'SHEET A'!C22*B137*2.5</f>
        <v>5625</v>
      </c>
      <c r="C139" s="208"/>
      <c r="D139" s="211"/>
      <c r="F139" s="205"/>
    </row>
    <row r="140" spans="1:6" x14ac:dyDescent="0.25">
      <c r="A140" s="170" t="s">
        <v>286</v>
      </c>
      <c r="B140" s="172">
        <v>100</v>
      </c>
      <c r="C140" s="208"/>
      <c r="D140" s="211"/>
      <c r="F140" s="205"/>
    </row>
    <row r="141" spans="1:6" x14ac:dyDescent="0.25">
      <c r="A141" s="170" t="s">
        <v>287</v>
      </c>
      <c r="B141" s="173">
        <f>'SHEET A'!C23</f>
        <v>1.7999999999999998</v>
      </c>
      <c r="C141" s="208"/>
      <c r="D141" s="211"/>
      <c r="F141" s="205"/>
    </row>
    <row r="142" spans="1:6" x14ac:dyDescent="0.25">
      <c r="A142" s="144" t="s">
        <v>288</v>
      </c>
      <c r="B142" s="174">
        <f>B140*B141</f>
        <v>179.99999999999997</v>
      </c>
      <c r="C142" s="208"/>
      <c r="D142" s="211"/>
      <c r="F142" s="205"/>
    </row>
    <row r="143" spans="1:6" ht="15.75" thickBot="1" x14ac:dyDescent="0.3">
      <c r="A143" s="136" t="s">
        <v>154</v>
      </c>
      <c r="B143" s="137">
        <f>+B138+B139+B142</f>
        <v>5955</v>
      </c>
      <c r="C143" s="209"/>
      <c r="D143" s="212"/>
      <c r="F143" s="206"/>
    </row>
    <row r="144" spans="1:6" ht="15.75" thickBot="1" x14ac:dyDescent="0.3">
      <c r="A144" s="115" t="s">
        <v>111</v>
      </c>
      <c r="B144" s="116">
        <f>+B112+B117+B120+B125+B134+B143</f>
        <v>58680</v>
      </c>
      <c r="C144" s="103"/>
      <c r="D144" s="38"/>
    </row>
    <row r="145" spans="1:6" ht="15.75" thickBot="1" x14ac:dyDescent="0.3">
      <c r="A145" s="23" t="s">
        <v>185</v>
      </c>
      <c r="B145" s="1"/>
      <c r="C145" s="15"/>
      <c r="D145" s="15"/>
    </row>
    <row r="146" spans="1:6" x14ac:dyDescent="0.25">
      <c r="A146" s="24" t="s">
        <v>5</v>
      </c>
      <c r="B146" s="90">
        <f>'SHEET A'!C12</f>
        <v>0.06</v>
      </c>
      <c r="C146" s="213">
        <v>3</v>
      </c>
      <c r="D146" s="216">
        <f>C146/12</f>
        <v>0.25</v>
      </c>
      <c r="F146" s="204" t="s">
        <v>255</v>
      </c>
    </row>
    <row r="147" spans="1:6" x14ac:dyDescent="0.25">
      <c r="A147" s="25" t="s">
        <v>289</v>
      </c>
      <c r="B147" s="26">
        <v>100</v>
      </c>
      <c r="C147" s="214"/>
      <c r="D147" s="217"/>
      <c r="F147" s="205"/>
    </row>
    <row r="148" spans="1:6" x14ac:dyDescent="0.25">
      <c r="A148" s="25" t="s">
        <v>78</v>
      </c>
      <c r="B148" s="26">
        <v>30</v>
      </c>
      <c r="C148" s="214"/>
      <c r="D148" s="217"/>
      <c r="F148" s="205"/>
    </row>
    <row r="149" spans="1:6" x14ac:dyDescent="0.25">
      <c r="A149" s="25" t="s">
        <v>7</v>
      </c>
      <c r="B149" s="26">
        <f>B147*B148</f>
        <v>3000</v>
      </c>
      <c r="C149" s="214"/>
      <c r="D149" s="217"/>
      <c r="F149" s="205"/>
    </row>
    <row r="150" spans="1:6" ht="15.75" thickBot="1" x14ac:dyDescent="0.3">
      <c r="A150" s="27" t="s">
        <v>23</v>
      </c>
      <c r="B150" s="91">
        <f>B146*B149</f>
        <v>180</v>
      </c>
      <c r="C150" s="215"/>
      <c r="D150" s="218"/>
      <c r="F150" s="205"/>
    </row>
    <row r="151" spans="1:6" ht="15.75" thickBot="1" x14ac:dyDescent="0.3">
      <c r="A151" s="23" t="s">
        <v>186</v>
      </c>
      <c r="B151" s="12"/>
      <c r="C151" s="28"/>
      <c r="D151" s="28"/>
      <c r="F151" s="205"/>
    </row>
    <row r="152" spans="1:6" x14ac:dyDescent="0.25">
      <c r="A152" s="24" t="s">
        <v>115</v>
      </c>
      <c r="B152" s="111">
        <v>100</v>
      </c>
      <c r="C152" s="213">
        <v>3</v>
      </c>
      <c r="D152" s="216">
        <f>C152/12</f>
        <v>0.25</v>
      </c>
      <c r="F152" s="205"/>
    </row>
    <row r="153" spans="1:6" x14ac:dyDescent="0.25">
      <c r="A153" s="25" t="s">
        <v>116</v>
      </c>
      <c r="B153" s="26">
        <v>20</v>
      </c>
      <c r="C153" s="214"/>
      <c r="D153" s="217"/>
      <c r="F153" s="205"/>
    </row>
    <row r="154" spans="1:6" x14ac:dyDescent="0.25">
      <c r="A154" s="25" t="s">
        <v>13</v>
      </c>
      <c r="B154" s="112">
        <f>'SHEET A'!C15</f>
        <v>24</v>
      </c>
      <c r="C154" s="214"/>
      <c r="D154" s="217"/>
      <c r="F154" s="205"/>
    </row>
    <row r="155" spans="1:6" x14ac:dyDescent="0.25">
      <c r="A155" s="25" t="s">
        <v>117</v>
      </c>
      <c r="B155" s="113">
        <f>B152*B154*B153</f>
        <v>48000</v>
      </c>
      <c r="C155" s="214"/>
      <c r="D155" s="217"/>
      <c r="F155" s="205"/>
    </row>
    <row r="156" spans="1:6" x14ac:dyDescent="0.25">
      <c r="A156" s="25" t="s">
        <v>118</v>
      </c>
      <c r="B156" s="26">
        <v>100</v>
      </c>
      <c r="C156" s="214"/>
      <c r="D156" s="217"/>
      <c r="F156" s="205"/>
    </row>
    <row r="157" spans="1:6" x14ac:dyDescent="0.25">
      <c r="A157" s="118" t="s">
        <v>217</v>
      </c>
      <c r="B157" s="117">
        <f>(B153*B147)</f>
        <v>2000</v>
      </c>
      <c r="C157" s="214"/>
      <c r="D157" s="217"/>
      <c r="F157" s="205"/>
    </row>
    <row r="158" spans="1:6" ht="15.75" thickBot="1" x14ac:dyDescent="0.3">
      <c r="A158" s="27" t="s">
        <v>225</v>
      </c>
      <c r="B158" s="91">
        <f>'SHEET A'!C32*B157</f>
        <v>960</v>
      </c>
      <c r="C158" s="110"/>
      <c r="D158" s="109"/>
      <c r="F158" s="205"/>
    </row>
    <row r="159" spans="1:6" ht="15.75" thickBot="1" x14ac:dyDescent="0.3">
      <c r="A159" s="23" t="s">
        <v>187</v>
      </c>
      <c r="B159" s="12"/>
      <c r="C159" s="28"/>
      <c r="D159" s="28"/>
      <c r="F159" s="205"/>
    </row>
    <row r="160" spans="1:6" x14ac:dyDescent="0.25">
      <c r="A160" s="24" t="s">
        <v>135</v>
      </c>
      <c r="B160" s="111">
        <v>100</v>
      </c>
      <c r="C160" s="213">
        <v>6</v>
      </c>
      <c r="D160" s="216">
        <f>C160/12</f>
        <v>0.5</v>
      </c>
      <c r="F160" s="205"/>
    </row>
    <row r="161" spans="1:6" x14ac:dyDescent="0.25">
      <c r="A161" s="25" t="s">
        <v>119</v>
      </c>
      <c r="B161" s="114">
        <f>'SHEET A'!C13</f>
        <v>0.15</v>
      </c>
      <c r="C161" s="214"/>
      <c r="D161" s="217"/>
      <c r="F161" s="205"/>
    </row>
    <row r="162" spans="1:6" x14ac:dyDescent="0.25">
      <c r="A162" s="25" t="s">
        <v>82</v>
      </c>
      <c r="B162" s="26">
        <v>5</v>
      </c>
      <c r="C162" s="214"/>
      <c r="D162" s="217"/>
      <c r="F162" s="205"/>
    </row>
    <row r="163" spans="1:6" ht="15.75" thickBot="1" x14ac:dyDescent="0.3">
      <c r="A163" s="27" t="s">
        <v>81</v>
      </c>
      <c r="B163" s="91">
        <f>(B160*B161)*B162</f>
        <v>75</v>
      </c>
      <c r="C163" s="215"/>
      <c r="D163" s="218"/>
      <c r="F163" s="205"/>
    </row>
    <row r="164" spans="1:6" ht="15.75" thickBot="1" x14ac:dyDescent="0.3">
      <c r="A164" s="23" t="s">
        <v>188</v>
      </c>
      <c r="B164" s="1"/>
      <c r="C164" s="15"/>
      <c r="D164" s="15"/>
      <c r="F164" s="205"/>
    </row>
    <row r="165" spans="1:6" x14ac:dyDescent="0.25">
      <c r="A165" s="24" t="s">
        <v>249</v>
      </c>
      <c r="B165" s="111">
        <v>100</v>
      </c>
      <c r="C165" s="213">
        <v>12</v>
      </c>
      <c r="D165" s="216">
        <f>C165/12</f>
        <v>1</v>
      </c>
      <c r="F165" s="205"/>
    </row>
    <row r="166" spans="1:6" x14ac:dyDescent="0.25">
      <c r="A166" s="25" t="s">
        <v>250</v>
      </c>
      <c r="B166" s="26">
        <v>500</v>
      </c>
      <c r="C166" s="214"/>
      <c r="D166" s="217"/>
      <c r="F166" s="205"/>
    </row>
    <row r="167" spans="1:6" x14ac:dyDescent="0.25">
      <c r="A167" s="118" t="s">
        <v>275</v>
      </c>
      <c r="B167" s="143">
        <f>+'SHEET A'!C10*B166</f>
        <v>899.99999999999989</v>
      </c>
      <c r="C167" s="214"/>
      <c r="D167" s="217"/>
      <c r="F167" s="205"/>
    </row>
    <row r="168" spans="1:6" x14ac:dyDescent="0.25">
      <c r="A168" s="25" t="s">
        <v>175</v>
      </c>
      <c r="B168" s="26">
        <v>2</v>
      </c>
      <c r="C168" s="214"/>
      <c r="D168" s="217"/>
      <c r="F168" s="205"/>
    </row>
    <row r="169" spans="1:6" x14ac:dyDescent="0.25">
      <c r="A169" s="118" t="s">
        <v>241</v>
      </c>
      <c r="B169" s="143">
        <f>+'SHEET A'!C5*B168*B166</f>
        <v>60</v>
      </c>
      <c r="C169" s="214"/>
      <c r="D169" s="217"/>
      <c r="F169" s="205"/>
    </row>
    <row r="170" spans="1:6" x14ac:dyDescent="0.25">
      <c r="A170" s="118" t="s">
        <v>251</v>
      </c>
      <c r="B170" s="143">
        <f>+'SHEET A'!C6*B168*B166</f>
        <v>300</v>
      </c>
      <c r="C170" s="214"/>
      <c r="D170" s="217"/>
      <c r="F170" s="205"/>
    </row>
    <row r="171" spans="1:6" x14ac:dyDescent="0.25">
      <c r="A171" s="118" t="s">
        <v>244</v>
      </c>
      <c r="B171" s="143">
        <f>+'SHEET A'!C8*B166</f>
        <v>2250</v>
      </c>
      <c r="C171" s="214"/>
      <c r="D171" s="217"/>
      <c r="F171" s="205"/>
    </row>
    <row r="172" spans="1:6" ht="15.75" thickBot="1" x14ac:dyDescent="0.3">
      <c r="A172" s="27" t="s">
        <v>245</v>
      </c>
      <c r="B172" s="80">
        <f>B170+B169+B171+B167</f>
        <v>3510</v>
      </c>
      <c r="C172" s="215"/>
      <c r="D172" s="218"/>
      <c r="F172" s="205"/>
    </row>
    <row r="173" spans="1:6" ht="15.75" thickBot="1" x14ac:dyDescent="0.3">
      <c r="A173" s="115" t="s">
        <v>108</v>
      </c>
      <c r="B173" s="116">
        <f>+B150+B155+B158+B163+B172</f>
        <v>52725</v>
      </c>
      <c r="C173" s="103"/>
      <c r="D173" s="38"/>
      <c r="F173" s="205"/>
    </row>
    <row r="174" spans="1:6" ht="15.75" thickBot="1" x14ac:dyDescent="0.3">
      <c r="A174" s="138" t="s">
        <v>184</v>
      </c>
      <c r="B174" s="1"/>
      <c r="C174" s="2"/>
      <c r="D174" s="3"/>
      <c r="F174" s="205"/>
    </row>
    <row r="175" spans="1:6" x14ac:dyDescent="0.25">
      <c r="A175" s="134" t="s">
        <v>176</v>
      </c>
      <c r="B175" s="135">
        <v>500</v>
      </c>
      <c r="C175" s="207">
        <v>30</v>
      </c>
      <c r="D175" s="210">
        <f>C175/12</f>
        <v>2.5</v>
      </c>
      <c r="F175" s="205"/>
    </row>
    <row r="176" spans="1:6" x14ac:dyDescent="0.25">
      <c r="A176" s="144" t="s">
        <v>178</v>
      </c>
      <c r="B176" s="139">
        <f>'SHEET A'!C21*B175</f>
        <v>150</v>
      </c>
      <c r="C176" s="208"/>
      <c r="D176" s="211"/>
      <c r="F176" s="205"/>
    </row>
    <row r="177" spans="1:12" x14ac:dyDescent="0.25">
      <c r="A177" s="144" t="s">
        <v>179</v>
      </c>
      <c r="B177" s="139">
        <f>'SHEET A'!C22*B175*2.5</f>
        <v>5625</v>
      </c>
      <c r="C177" s="208"/>
      <c r="D177" s="211"/>
      <c r="F177" s="205"/>
    </row>
    <row r="178" spans="1:12" x14ac:dyDescent="0.25">
      <c r="A178" s="170" t="s">
        <v>286</v>
      </c>
      <c r="B178" s="172">
        <v>100</v>
      </c>
      <c r="C178" s="208"/>
      <c r="D178" s="211"/>
      <c r="F178" s="205"/>
    </row>
    <row r="179" spans="1:12" x14ac:dyDescent="0.25">
      <c r="A179" s="170" t="s">
        <v>287</v>
      </c>
      <c r="B179" s="173">
        <f>'SHEET A'!C23</f>
        <v>1.7999999999999998</v>
      </c>
      <c r="C179" s="208"/>
      <c r="D179" s="211"/>
      <c r="F179" s="205"/>
    </row>
    <row r="180" spans="1:12" x14ac:dyDescent="0.25">
      <c r="A180" s="144" t="s">
        <v>288</v>
      </c>
      <c r="B180" s="174">
        <f>B178*B179</f>
        <v>179.99999999999997</v>
      </c>
      <c r="C180" s="208"/>
      <c r="D180" s="211"/>
      <c r="F180" s="205"/>
    </row>
    <row r="181" spans="1:12" ht="15.75" thickBot="1" x14ac:dyDescent="0.3">
      <c r="A181" s="136" t="s">
        <v>154</v>
      </c>
      <c r="B181" s="137">
        <f>+B176+B177+B180</f>
        <v>5955</v>
      </c>
      <c r="C181" s="209"/>
      <c r="D181" s="212"/>
      <c r="F181" s="206"/>
    </row>
    <row r="182" spans="1:12" ht="15.75" thickBot="1" x14ac:dyDescent="0.3">
      <c r="A182" s="115" t="s">
        <v>112</v>
      </c>
      <c r="B182" s="116">
        <f>+B150+B155+B158+B163+B172+B181</f>
        <v>58680</v>
      </c>
      <c r="C182" s="103"/>
      <c r="D182" s="38"/>
    </row>
    <row r="183" spans="1:12" ht="22.5" customHeight="1" x14ac:dyDescent="0.25">
      <c r="A183" s="40" t="s">
        <v>104</v>
      </c>
      <c r="B183" s="119">
        <f>B9+B30+B68+B106+B144+B182</f>
        <v>326985</v>
      </c>
      <c r="C183" s="41">
        <f>SUM(C3:C182)</f>
        <v>282</v>
      </c>
      <c r="D183" s="41">
        <f>C183/12</f>
        <v>23.5</v>
      </c>
    </row>
    <row r="184" spans="1:12" ht="14.25" customHeight="1" x14ac:dyDescent="0.25">
      <c r="B184" s="43"/>
      <c r="D184" s="41" t="s">
        <v>1</v>
      </c>
    </row>
    <row r="185" spans="1:12" ht="14.25" customHeight="1" x14ac:dyDescent="0.25">
      <c r="B185" s="43"/>
      <c r="C185" s="7"/>
      <c r="D185" s="7"/>
    </row>
    <row r="186" spans="1:12" ht="14.25" customHeight="1" x14ac:dyDescent="0.25">
      <c r="B186" s="43"/>
      <c r="C186" s="7"/>
      <c r="D186" s="7"/>
    </row>
    <row r="187" spans="1:12" ht="17.25" customHeight="1" x14ac:dyDescent="0.3">
      <c r="A187" s="47" t="s">
        <v>42</v>
      </c>
      <c r="B187" s="48"/>
      <c r="C187" s="48"/>
      <c r="D187" s="49"/>
      <c r="F187" s="45"/>
      <c r="G187" s="45"/>
      <c r="H187" s="45"/>
      <c r="I187" s="46"/>
      <c r="J187" s="45"/>
      <c r="K187" s="45"/>
      <c r="L187" s="45"/>
    </row>
    <row r="188" spans="1:12" ht="14.25" customHeight="1" thickBot="1" x14ac:dyDescent="0.3">
      <c r="A188" s="50" t="s">
        <v>43</v>
      </c>
      <c r="B188" s="51"/>
      <c r="C188" s="48"/>
      <c r="D188" s="49"/>
      <c r="F188" s="45"/>
      <c r="G188" s="45"/>
      <c r="H188" s="45"/>
      <c r="I188" s="46"/>
      <c r="J188" s="45"/>
      <c r="K188" s="45"/>
      <c r="L188" s="45"/>
    </row>
    <row r="189" spans="1:12" x14ac:dyDescent="0.25">
      <c r="A189" s="29" t="s">
        <v>230</v>
      </c>
      <c r="B189" s="52">
        <v>2000</v>
      </c>
      <c r="C189" s="241"/>
      <c r="D189" s="244"/>
      <c r="F189" s="237" t="s">
        <v>174</v>
      </c>
      <c r="G189" s="13"/>
      <c r="H189" s="240"/>
      <c r="I189" s="240"/>
      <c r="J189" s="45"/>
      <c r="K189" s="45"/>
      <c r="L189" s="45"/>
    </row>
    <row r="190" spans="1:12" ht="14.25" customHeight="1" x14ac:dyDescent="0.25">
      <c r="A190" s="30" t="s">
        <v>231</v>
      </c>
      <c r="B190" s="92">
        <f>'SHEET A'!C13</f>
        <v>0.15</v>
      </c>
      <c r="C190" s="242"/>
      <c r="D190" s="245"/>
      <c r="F190" s="238"/>
      <c r="G190" s="4"/>
      <c r="H190" s="240"/>
      <c r="I190" s="240"/>
      <c r="J190" s="45"/>
      <c r="K190" s="45"/>
      <c r="L190" s="45"/>
    </row>
    <row r="191" spans="1:12" x14ac:dyDescent="0.25">
      <c r="A191" s="30" t="s">
        <v>237</v>
      </c>
      <c r="B191" s="31">
        <v>45</v>
      </c>
      <c r="C191" s="242"/>
      <c r="D191" s="245"/>
      <c r="F191" s="238"/>
      <c r="G191" s="4"/>
      <c r="H191" s="240"/>
      <c r="I191" s="240"/>
      <c r="J191" s="45"/>
      <c r="K191" s="45"/>
      <c r="L191" s="45"/>
    </row>
    <row r="192" spans="1:12" x14ac:dyDescent="0.25">
      <c r="A192" s="30" t="s">
        <v>232</v>
      </c>
      <c r="B192" s="31">
        <f>B189*B191</f>
        <v>90000</v>
      </c>
      <c r="C192" s="242"/>
      <c r="D192" s="245"/>
      <c r="F192" s="238"/>
      <c r="G192" s="4"/>
      <c r="H192" s="240"/>
      <c r="I192" s="240"/>
      <c r="J192" s="45"/>
      <c r="K192" s="45"/>
      <c r="L192" s="45"/>
    </row>
    <row r="193" spans="1:12" ht="15" customHeight="1" thickBot="1" x14ac:dyDescent="0.3">
      <c r="A193" s="32" t="s">
        <v>233</v>
      </c>
      <c r="B193" s="93">
        <f>+B190*B192</f>
        <v>13500</v>
      </c>
      <c r="C193" s="243"/>
      <c r="D193" s="246"/>
      <c r="F193" s="238"/>
      <c r="G193" s="14"/>
      <c r="H193" s="240"/>
      <c r="I193" s="240"/>
      <c r="J193" s="45"/>
      <c r="K193" s="45"/>
      <c r="L193" s="45"/>
    </row>
    <row r="194" spans="1:12" ht="14.25" customHeight="1" thickBot="1" x14ac:dyDescent="0.3">
      <c r="A194" s="154" t="s">
        <v>15</v>
      </c>
      <c r="B194" s="1"/>
      <c r="C194" s="2"/>
      <c r="D194" s="2"/>
      <c r="F194" s="238"/>
      <c r="G194" s="4"/>
      <c r="H194" s="240"/>
      <c r="I194" s="240"/>
      <c r="J194" s="45"/>
      <c r="K194" s="45"/>
      <c r="L194" s="45"/>
    </row>
    <row r="195" spans="1:12" ht="14.25" customHeight="1" x14ac:dyDescent="0.25">
      <c r="A195" s="35" t="s">
        <v>6</v>
      </c>
      <c r="B195" s="155">
        <v>3</v>
      </c>
      <c r="C195" s="228">
        <v>12</v>
      </c>
      <c r="D195" s="225">
        <f>C195/12</f>
        <v>1</v>
      </c>
      <c r="F195" s="238"/>
      <c r="G195" s="54"/>
      <c r="H195" s="240"/>
      <c r="I195" s="240"/>
      <c r="J195" s="45"/>
      <c r="K195" s="45"/>
      <c r="L195" s="45"/>
    </row>
    <row r="196" spans="1:12" x14ac:dyDescent="0.25">
      <c r="A196" s="35" t="s">
        <v>8</v>
      </c>
      <c r="B196" s="156">
        <v>9</v>
      </c>
      <c r="C196" s="229"/>
      <c r="D196" s="226"/>
      <c r="F196" s="238"/>
      <c r="G196" s="14"/>
      <c r="H196" s="240"/>
      <c r="I196" s="240"/>
      <c r="J196" s="45"/>
      <c r="K196" s="45"/>
      <c r="L196" s="45"/>
    </row>
    <row r="197" spans="1:12" x14ac:dyDescent="0.25">
      <c r="A197" s="35" t="s">
        <v>9</v>
      </c>
      <c r="B197" s="156">
        <f>B189*B195*B196</f>
        <v>54000</v>
      </c>
      <c r="C197" s="229"/>
      <c r="D197" s="226"/>
      <c r="F197" s="238"/>
      <c r="G197" s="54"/>
      <c r="H197" s="240"/>
      <c r="I197" s="240"/>
      <c r="J197" s="45"/>
      <c r="K197" s="45"/>
      <c r="L197" s="45"/>
    </row>
    <row r="198" spans="1:12" x14ac:dyDescent="0.25">
      <c r="A198" s="35" t="s">
        <v>10</v>
      </c>
      <c r="B198" s="157">
        <f>'SHEET A'!C31</f>
        <v>0.12</v>
      </c>
      <c r="C198" s="229"/>
      <c r="D198" s="226"/>
      <c r="F198" s="238"/>
      <c r="G198" s="4"/>
      <c r="H198" s="5"/>
      <c r="I198" s="6"/>
      <c r="J198" s="45"/>
      <c r="K198" s="45"/>
      <c r="L198" s="45"/>
    </row>
    <row r="199" spans="1:12" x14ac:dyDescent="0.25">
      <c r="A199" s="35" t="s">
        <v>236</v>
      </c>
      <c r="B199" s="156">
        <f>B197*0.05</f>
        <v>2700</v>
      </c>
      <c r="C199" s="229"/>
      <c r="D199" s="226"/>
      <c r="F199" s="238"/>
      <c r="G199" s="13"/>
      <c r="H199" s="240"/>
      <c r="I199" s="240"/>
      <c r="J199" s="45"/>
      <c r="K199" s="45"/>
      <c r="L199" s="45"/>
    </row>
    <row r="200" spans="1:12" ht="14.25" customHeight="1" x14ac:dyDescent="0.25">
      <c r="A200" s="64" t="s">
        <v>11</v>
      </c>
      <c r="B200" s="158">
        <f>B199*B198</f>
        <v>324</v>
      </c>
      <c r="C200" s="229"/>
      <c r="D200" s="226"/>
      <c r="F200" s="238"/>
      <c r="G200" s="14"/>
      <c r="H200" s="240"/>
      <c r="I200" s="240"/>
      <c r="J200" s="45"/>
      <c r="K200" s="45"/>
      <c r="L200" s="45"/>
    </row>
    <row r="201" spans="1:12" ht="14.25" customHeight="1" x14ac:dyDescent="0.25">
      <c r="A201" s="35" t="s">
        <v>31</v>
      </c>
      <c r="B201" s="157">
        <f>'SHEET A'!C30</f>
        <v>0.89999999999999991</v>
      </c>
      <c r="C201" s="229"/>
      <c r="D201" s="226"/>
      <c r="F201" s="238"/>
      <c r="G201" s="14"/>
      <c r="H201" s="240"/>
      <c r="I201" s="240"/>
      <c r="J201" s="45"/>
      <c r="K201" s="45"/>
      <c r="L201" s="45"/>
    </row>
    <row r="202" spans="1:12" ht="14.25" customHeight="1" thickBot="1" x14ac:dyDescent="0.3">
      <c r="A202" s="36" t="s">
        <v>24</v>
      </c>
      <c r="B202" s="159">
        <f>B197*B201+(B200)</f>
        <v>48923.999999999993</v>
      </c>
      <c r="C202" s="230"/>
      <c r="D202" s="227"/>
      <c r="F202" s="238"/>
      <c r="G202" s="54"/>
      <c r="H202" s="240"/>
      <c r="I202" s="240"/>
      <c r="J202" s="45"/>
      <c r="K202" s="45"/>
      <c r="L202" s="45"/>
    </row>
    <row r="203" spans="1:12" ht="15.75" thickBot="1" x14ac:dyDescent="0.3">
      <c r="A203" s="154" t="s">
        <v>16</v>
      </c>
      <c r="B203" s="1"/>
      <c r="C203" s="2"/>
      <c r="D203" s="2"/>
      <c r="F203" s="238"/>
      <c r="G203" s="54"/>
      <c r="H203" s="240"/>
      <c r="I203" s="240"/>
      <c r="J203" s="45"/>
      <c r="K203" s="45"/>
      <c r="L203" s="45"/>
    </row>
    <row r="204" spans="1:12" ht="15" customHeight="1" x14ac:dyDescent="0.25">
      <c r="A204" s="34" t="s">
        <v>12</v>
      </c>
      <c r="B204" s="160">
        <f>'SHEET A'!C33</f>
        <v>0.06</v>
      </c>
      <c r="C204" s="228">
        <v>96</v>
      </c>
      <c r="D204" s="225">
        <f>C204/12</f>
        <v>8</v>
      </c>
      <c r="F204" s="238"/>
      <c r="G204" s="54"/>
      <c r="H204" s="240"/>
      <c r="I204" s="240"/>
      <c r="J204" s="45"/>
      <c r="K204" s="45"/>
      <c r="L204" s="45"/>
    </row>
    <row r="205" spans="1:12" x14ac:dyDescent="0.25">
      <c r="A205" s="35" t="s">
        <v>26</v>
      </c>
      <c r="B205" s="161">
        <f>'SHEET A'!C35</f>
        <v>3</v>
      </c>
      <c r="C205" s="229"/>
      <c r="D205" s="226"/>
      <c r="F205" s="238"/>
      <c r="G205" s="14"/>
      <c r="H205" s="240"/>
      <c r="I205" s="240"/>
      <c r="J205" s="45"/>
      <c r="K205" s="45"/>
      <c r="L205" s="45"/>
    </row>
    <row r="206" spans="1:12" x14ac:dyDescent="0.25">
      <c r="A206" s="35" t="s">
        <v>25</v>
      </c>
      <c r="B206" s="161">
        <f>'SHEET A'!C36</f>
        <v>0.06</v>
      </c>
      <c r="C206" s="229"/>
      <c r="D206" s="226"/>
      <c r="F206" s="238"/>
      <c r="G206" s="54"/>
      <c r="H206" s="240"/>
      <c r="I206" s="240"/>
      <c r="J206" s="45"/>
      <c r="K206" s="45"/>
      <c r="L206" s="45"/>
    </row>
    <row r="207" spans="1:12" x14ac:dyDescent="0.25">
      <c r="A207" s="64" t="s">
        <v>27</v>
      </c>
      <c r="B207" s="162">
        <f>B197*B204</f>
        <v>3240</v>
      </c>
      <c r="C207" s="229"/>
      <c r="D207" s="226"/>
      <c r="F207" s="238"/>
      <c r="G207" s="54"/>
      <c r="H207" s="240"/>
      <c r="I207" s="240"/>
      <c r="J207" s="45"/>
      <c r="K207" s="45"/>
      <c r="L207" s="45"/>
    </row>
    <row r="208" spans="1:12" x14ac:dyDescent="0.25">
      <c r="A208" s="64" t="s">
        <v>28</v>
      </c>
      <c r="B208" s="162">
        <f>(2000*9)*B205</f>
        <v>54000</v>
      </c>
      <c r="C208" s="229"/>
      <c r="D208" s="226"/>
      <c r="F208" s="238"/>
      <c r="G208" s="55"/>
      <c r="H208" s="5"/>
      <c r="I208" s="56"/>
      <c r="J208" s="45"/>
      <c r="K208" s="45"/>
      <c r="L208" s="45"/>
    </row>
    <row r="209" spans="1:12" x14ac:dyDescent="0.25">
      <c r="A209" s="64" t="s">
        <v>29</v>
      </c>
      <c r="B209" s="162">
        <f>B197*B206</f>
        <v>3240</v>
      </c>
      <c r="C209" s="229"/>
      <c r="D209" s="226"/>
      <c r="F209" s="238"/>
      <c r="G209" s="55"/>
      <c r="H209" s="5"/>
      <c r="I209" s="56"/>
      <c r="J209" s="45"/>
      <c r="K209" s="45"/>
      <c r="L209" s="45"/>
    </row>
    <row r="210" spans="1:12" ht="15.75" thickBot="1" x14ac:dyDescent="0.3">
      <c r="A210" s="36" t="s">
        <v>32</v>
      </c>
      <c r="B210" s="163">
        <f>B207+B208+B209</f>
        <v>60480</v>
      </c>
      <c r="C210" s="230"/>
      <c r="D210" s="227"/>
      <c r="F210" s="238"/>
      <c r="G210" s="45"/>
      <c r="H210" s="45"/>
      <c r="I210" s="46"/>
      <c r="J210" s="45"/>
      <c r="K210" s="45"/>
      <c r="L210" s="45"/>
    </row>
    <row r="211" spans="1:12" ht="15.75" thickBot="1" x14ac:dyDescent="0.3">
      <c r="A211" s="154" t="s">
        <v>17</v>
      </c>
      <c r="B211" s="1"/>
      <c r="C211" s="2"/>
      <c r="D211" s="2"/>
      <c r="F211" s="238"/>
      <c r="G211" s="45"/>
      <c r="H211" s="45"/>
      <c r="I211" s="46"/>
      <c r="J211" s="45"/>
      <c r="K211" s="45"/>
      <c r="L211" s="45"/>
    </row>
    <row r="212" spans="1:12" x14ac:dyDescent="0.25">
      <c r="A212" s="34" t="s">
        <v>18</v>
      </c>
      <c r="B212" s="160">
        <v>0</v>
      </c>
      <c r="C212" s="228">
        <v>0</v>
      </c>
      <c r="D212" s="225">
        <f>C212/12</f>
        <v>0</v>
      </c>
      <c r="F212" s="238"/>
      <c r="G212" s="45"/>
      <c r="H212" s="45"/>
      <c r="I212" s="46"/>
      <c r="J212" s="45"/>
      <c r="K212" s="45"/>
      <c r="L212" s="45"/>
    </row>
    <row r="213" spans="1:12" ht="15.75" thickBot="1" x14ac:dyDescent="0.3">
      <c r="A213" s="164" t="s">
        <v>19</v>
      </c>
      <c r="B213" s="165">
        <v>0</v>
      </c>
      <c r="C213" s="230"/>
      <c r="D213" s="227"/>
      <c r="F213" s="239"/>
      <c r="G213" s="45"/>
      <c r="H213" s="45"/>
      <c r="I213" s="46"/>
      <c r="J213" s="45"/>
      <c r="K213" s="45"/>
      <c r="L213" s="45"/>
    </row>
    <row r="214" spans="1:12" s="60" customFormat="1" ht="19.5" customHeight="1" x14ac:dyDescent="0.4">
      <c r="A214" s="40" t="s">
        <v>14</v>
      </c>
      <c r="B214" s="119">
        <f>B193+B202+B210</f>
        <v>122904</v>
      </c>
      <c r="C214" s="41">
        <f>SUM(C189:C213)</f>
        <v>108</v>
      </c>
      <c r="D214" s="41">
        <f>SUM(D189:D213)</f>
        <v>9</v>
      </c>
      <c r="F214" s="61"/>
      <c r="G214" s="61"/>
      <c r="H214" s="61"/>
      <c r="I214" s="62"/>
      <c r="J214" s="61"/>
      <c r="K214" s="61"/>
      <c r="L214" s="61"/>
    </row>
    <row r="215" spans="1:12" ht="18.75" x14ac:dyDescent="0.25">
      <c r="C215" s="7"/>
      <c r="D215" s="41" t="s">
        <v>1</v>
      </c>
    </row>
    <row r="216" spans="1:12" ht="14.25" customHeight="1" x14ac:dyDescent="0.25">
      <c r="B216" s="87"/>
      <c r="F216" s="45"/>
      <c r="G216" s="45"/>
      <c r="H216" s="45"/>
      <c r="I216" s="46"/>
      <c r="J216" s="45"/>
      <c r="K216" s="45"/>
      <c r="L216" s="45"/>
    </row>
    <row r="217" spans="1:12" x14ac:dyDescent="0.25">
      <c r="B217" s="96"/>
    </row>
    <row r="220" spans="1:12" ht="26.25" x14ac:dyDescent="0.25">
      <c r="A220" s="57" t="s">
        <v>41</v>
      </c>
      <c r="B220" s="95">
        <f>B183+B214</f>
        <v>449889</v>
      </c>
      <c r="C220" s="58"/>
      <c r="D220" s="59"/>
    </row>
    <row r="221" spans="1:12" x14ac:dyDescent="0.25">
      <c r="B221" s="63"/>
    </row>
    <row r="222" spans="1:12" x14ac:dyDescent="0.25">
      <c r="B222" s="87"/>
    </row>
  </sheetData>
  <mergeCells count="67">
    <mergeCell ref="F3:F8"/>
    <mergeCell ref="C70:C74"/>
    <mergeCell ref="D70:D74"/>
    <mergeCell ref="C89:C96"/>
    <mergeCell ref="D89:D96"/>
    <mergeCell ref="C32:C36"/>
    <mergeCell ref="C46:C49"/>
    <mergeCell ref="D46:D49"/>
    <mergeCell ref="C51:C58"/>
    <mergeCell ref="D51:D58"/>
    <mergeCell ref="D32:D36"/>
    <mergeCell ref="C38:C43"/>
    <mergeCell ref="D38:D43"/>
    <mergeCell ref="C3:C8"/>
    <mergeCell ref="D3:D8"/>
    <mergeCell ref="C11:C21"/>
    <mergeCell ref="C127:C134"/>
    <mergeCell ref="D127:D134"/>
    <mergeCell ref="C99:C105"/>
    <mergeCell ref="D99:D105"/>
    <mergeCell ref="C76:C81"/>
    <mergeCell ref="D76:D81"/>
    <mergeCell ref="C84:C87"/>
    <mergeCell ref="D84:D87"/>
    <mergeCell ref="C160:C163"/>
    <mergeCell ref="D160:D163"/>
    <mergeCell ref="C175:C181"/>
    <mergeCell ref="D175:D181"/>
    <mergeCell ref="C108:C112"/>
    <mergeCell ref="D108:D112"/>
    <mergeCell ref="C165:C172"/>
    <mergeCell ref="D165:D172"/>
    <mergeCell ref="C137:C143"/>
    <mergeCell ref="D137:D143"/>
    <mergeCell ref="C146:C150"/>
    <mergeCell ref="D146:D150"/>
    <mergeCell ref="C152:C157"/>
    <mergeCell ref="D152:D157"/>
    <mergeCell ref="C122:C125"/>
    <mergeCell ref="D122:D125"/>
    <mergeCell ref="H199:H207"/>
    <mergeCell ref="I199:I207"/>
    <mergeCell ref="C204:C210"/>
    <mergeCell ref="D204:D210"/>
    <mergeCell ref="F189:F213"/>
    <mergeCell ref="H189:H190"/>
    <mergeCell ref="I189:I190"/>
    <mergeCell ref="H191:H197"/>
    <mergeCell ref="I191:I197"/>
    <mergeCell ref="C189:C193"/>
    <mergeCell ref="D189:D193"/>
    <mergeCell ref="C212:C213"/>
    <mergeCell ref="D212:D213"/>
    <mergeCell ref="C195:C202"/>
    <mergeCell ref="D195:D202"/>
    <mergeCell ref="F11:F29"/>
    <mergeCell ref="F32:F67"/>
    <mergeCell ref="F70:F105"/>
    <mergeCell ref="F108:F143"/>
    <mergeCell ref="F146:F181"/>
    <mergeCell ref="D11:D21"/>
    <mergeCell ref="C23:C29"/>
    <mergeCell ref="D23:D29"/>
    <mergeCell ref="C114:C119"/>
    <mergeCell ref="D114:D119"/>
    <mergeCell ref="C61:C67"/>
    <mergeCell ref="D61:D67"/>
  </mergeCells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30"/>
  <sheetViews>
    <sheetView showGridLines="0" topLeftCell="C31" zoomScale="85" zoomScaleNormal="85" workbookViewId="0">
      <selection activeCell="C170" sqref="C170"/>
    </sheetView>
  </sheetViews>
  <sheetFormatPr defaultRowHeight="15" x14ac:dyDescent="0.25"/>
  <cols>
    <col min="1" max="1" width="48" bestFit="1" customWidth="1"/>
    <col min="2" max="2" width="10" bestFit="1" customWidth="1"/>
    <col min="3" max="3" width="5.85546875" bestFit="1" customWidth="1"/>
    <col min="5" max="5" width="80" bestFit="1" customWidth="1"/>
    <col min="6" max="6" width="13.140625" bestFit="1" customWidth="1"/>
    <col min="7" max="8" width="5.85546875" bestFit="1" customWidth="1"/>
    <col min="10" max="10" width="83" bestFit="1" customWidth="1"/>
    <col min="11" max="11" width="13.140625" bestFit="1" customWidth="1"/>
    <col min="12" max="13" width="5.85546875" bestFit="1" customWidth="1"/>
  </cols>
  <sheetData>
    <row r="1" spans="1:14" x14ac:dyDescent="0.25">
      <c r="A1" s="43" t="s">
        <v>304</v>
      </c>
    </row>
    <row r="2" spans="1:14" x14ac:dyDescent="0.25">
      <c r="A2" s="199" t="s">
        <v>301</v>
      </c>
      <c r="B2" s="200" t="s">
        <v>215</v>
      </c>
      <c r="C2" s="200" t="s">
        <v>21</v>
      </c>
      <c r="D2" s="201"/>
      <c r="E2" s="199" t="s">
        <v>302</v>
      </c>
      <c r="F2" s="200" t="s">
        <v>215</v>
      </c>
      <c r="G2" s="200" t="s">
        <v>21</v>
      </c>
      <c r="H2" s="200" t="s">
        <v>21</v>
      </c>
      <c r="I2" s="202"/>
      <c r="J2" s="199" t="s">
        <v>303</v>
      </c>
      <c r="K2" s="200" t="s">
        <v>20</v>
      </c>
      <c r="L2" s="203" t="s">
        <v>21</v>
      </c>
      <c r="M2" s="200" t="s">
        <v>21</v>
      </c>
      <c r="N2" s="200"/>
    </row>
    <row r="3" spans="1:14" x14ac:dyDescent="0.25">
      <c r="A3" s="42"/>
      <c r="B3" s="99"/>
      <c r="C3" s="63"/>
      <c r="D3" s="63"/>
      <c r="E3" s="4"/>
      <c r="F3" s="4"/>
      <c r="G3" s="4"/>
      <c r="H3" s="69"/>
      <c r="I3" s="42"/>
      <c r="J3" s="4"/>
      <c r="K3" s="4"/>
      <c r="L3" s="145"/>
      <c r="M3" s="69"/>
      <c r="N3" s="69"/>
    </row>
    <row r="4" spans="1:14" x14ac:dyDescent="0.25">
      <c r="A4" s="8" t="s">
        <v>45</v>
      </c>
      <c r="B4" s="100"/>
      <c r="C4" s="9"/>
      <c r="D4" s="63"/>
      <c r="E4" s="8" t="s">
        <v>263</v>
      </c>
      <c r="F4" s="4"/>
      <c r="G4" s="145"/>
      <c r="H4" s="69"/>
      <c r="I4" s="42"/>
      <c r="J4" s="8" t="s">
        <v>269</v>
      </c>
      <c r="K4" s="4"/>
      <c r="L4" s="145"/>
      <c r="M4" s="69"/>
      <c r="N4" s="69"/>
    </row>
    <row r="5" spans="1:14" x14ac:dyDescent="0.25">
      <c r="A5" s="1" t="s">
        <v>256</v>
      </c>
      <c r="B5" s="102">
        <v>9180</v>
      </c>
      <c r="C5" s="68">
        <v>0</v>
      </c>
      <c r="D5" s="63"/>
      <c r="E5" s="4" t="s">
        <v>216</v>
      </c>
      <c r="F5" s="198">
        <v>72000</v>
      </c>
      <c r="G5" s="145">
        <v>0</v>
      </c>
      <c r="H5" s="69"/>
      <c r="I5" s="42"/>
      <c r="J5" s="4" t="s">
        <v>189</v>
      </c>
      <c r="K5" s="198">
        <v>72000</v>
      </c>
      <c r="L5" s="145">
        <v>0</v>
      </c>
      <c r="M5" s="69"/>
      <c r="N5" s="69"/>
    </row>
    <row r="6" spans="1:14" ht="15.75" thickBot="1" x14ac:dyDescent="0.3">
      <c r="A6" s="42"/>
      <c r="B6" s="146">
        <v>9180</v>
      </c>
      <c r="C6" s="147">
        <v>0</v>
      </c>
      <c r="D6" s="63"/>
      <c r="E6" s="4" t="s">
        <v>190</v>
      </c>
      <c r="F6" s="98">
        <v>9180</v>
      </c>
      <c r="G6" s="145">
        <v>0</v>
      </c>
      <c r="H6" s="69"/>
      <c r="I6" s="42"/>
      <c r="J6" s="4" t="s">
        <v>190</v>
      </c>
      <c r="K6" s="98">
        <v>9180</v>
      </c>
      <c r="L6" s="145">
        <v>0</v>
      </c>
      <c r="M6" s="69"/>
      <c r="N6" s="69"/>
    </row>
    <row r="7" spans="1:14" ht="16.5" thickTop="1" thickBot="1" x14ac:dyDescent="0.3">
      <c r="A7" s="8" t="s">
        <v>146</v>
      </c>
      <c r="B7" s="101"/>
      <c r="C7" s="10"/>
      <c r="D7" s="63"/>
      <c r="E7" s="4"/>
      <c r="F7" s="146">
        <v>81180</v>
      </c>
      <c r="G7" s="147">
        <v>0</v>
      </c>
      <c r="H7" s="69"/>
      <c r="I7" s="42"/>
      <c r="J7" s="4"/>
      <c r="K7" s="146">
        <v>81180</v>
      </c>
      <c r="L7" s="147">
        <v>0</v>
      </c>
      <c r="M7" s="69"/>
      <c r="N7" s="69"/>
    </row>
    <row r="8" spans="1:14" ht="15.75" thickTop="1" x14ac:dyDescent="0.25">
      <c r="A8" s="42" t="s">
        <v>149</v>
      </c>
      <c r="B8" s="102">
        <v>2070</v>
      </c>
      <c r="C8" s="68">
        <v>2</v>
      </c>
      <c r="D8" s="63"/>
      <c r="E8" s="8" t="s">
        <v>151</v>
      </c>
      <c r="F8" s="98"/>
      <c r="G8" s="145"/>
      <c r="H8" s="69"/>
      <c r="I8" s="42"/>
      <c r="J8" s="8" t="s">
        <v>151</v>
      </c>
      <c r="K8" s="98"/>
      <c r="L8" s="145"/>
      <c r="M8" s="69"/>
      <c r="N8" s="69"/>
    </row>
    <row r="9" spans="1:14" x14ac:dyDescent="0.25">
      <c r="A9" s="42" t="s">
        <v>261</v>
      </c>
      <c r="B9" s="102">
        <v>1883.9999999999998</v>
      </c>
      <c r="C9" s="68">
        <v>5</v>
      </c>
      <c r="D9" s="63"/>
      <c r="E9" s="42" t="s">
        <v>150</v>
      </c>
      <c r="F9" s="98">
        <v>2070</v>
      </c>
      <c r="G9" s="145">
        <v>2</v>
      </c>
      <c r="H9" s="69"/>
      <c r="I9" s="42"/>
      <c r="J9" s="42" t="s">
        <v>270</v>
      </c>
      <c r="K9" s="98">
        <v>5130</v>
      </c>
      <c r="L9" s="145">
        <v>3</v>
      </c>
      <c r="M9" s="69"/>
      <c r="N9" s="69"/>
    </row>
    <row r="10" spans="1:14" ht="15.75" thickBot="1" x14ac:dyDescent="0.3">
      <c r="A10" s="42"/>
      <c r="B10" s="146">
        <v>3954</v>
      </c>
      <c r="C10" s="147">
        <v>7</v>
      </c>
      <c r="D10" s="63"/>
      <c r="E10" s="42" t="s">
        <v>155</v>
      </c>
      <c r="F10" s="98">
        <v>2063.9999999999995</v>
      </c>
      <c r="G10" s="145">
        <v>5</v>
      </c>
      <c r="H10" s="69"/>
      <c r="I10" s="42"/>
      <c r="J10" s="42" t="s">
        <v>271</v>
      </c>
      <c r="K10" s="98">
        <v>5955</v>
      </c>
      <c r="L10" s="145">
        <v>2.5</v>
      </c>
      <c r="M10" s="69"/>
      <c r="N10" s="69"/>
    </row>
    <row r="11" spans="1:14" ht="16.5" thickTop="1" thickBot="1" x14ac:dyDescent="0.3">
      <c r="A11" s="8" t="s">
        <v>257</v>
      </c>
      <c r="B11" s="101"/>
      <c r="C11" s="10"/>
      <c r="D11" s="63"/>
      <c r="E11" s="70"/>
      <c r="F11" s="146">
        <v>4134</v>
      </c>
      <c r="G11" s="147">
        <v>7</v>
      </c>
      <c r="H11" s="69"/>
      <c r="I11" s="42"/>
      <c r="J11" s="70"/>
      <c r="K11" s="146">
        <v>11085</v>
      </c>
      <c r="L11" s="147">
        <v>5.5</v>
      </c>
      <c r="M11" s="69"/>
      <c r="N11" s="69"/>
    </row>
    <row r="12" spans="1:14" ht="15.75" thickTop="1" x14ac:dyDescent="0.25">
      <c r="A12" s="42" t="s">
        <v>258</v>
      </c>
      <c r="B12" s="102">
        <v>360</v>
      </c>
      <c r="C12" s="68">
        <v>0.5</v>
      </c>
      <c r="D12" s="63"/>
      <c r="E12" s="8" t="s">
        <v>278</v>
      </c>
      <c r="F12" s="98"/>
      <c r="G12" s="145"/>
      <c r="H12" s="69"/>
      <c r="I12" s="42"/>
      <c r="J12" s="8" t="s">
        <v>278</v>
      </c>
      <c r="K12" s="98"/>
      <c r="L12" s="145"/>
      <c r="M12" s="69"/>
      <c r="N12" s="69"/>
    </row>
    <row r="13" spans="1:14" x14ac:dyDescent="0.25">
      <c r="A13" s="42" t="s">
        <v>259</v>
      </c>
      <c r="B13" s="102">
        <v>4076.9999999999995</v>
      </c>
      <c r="C13" s="68">
        <v>0.5</v>
      </c>
      <c r="D13" s="63"/>
      <c r="E13" s="42" t="s">
        <v>144</v>
      </c>
      <c r="F13" s="98">
        <v>180</v>
      </c>
      <c r="G13" s="145">
        <v>0.5</v>
      </c>
      <c r="H13" s="69"/>
      <c r="I13" s="42"/>
      <c r="J13" s="42" t="s">
        <v>144</v>
      </c>
      <c r="K13" s="98">
        <v>180</v>
      </c>
      <c r="L13" s="145">
        <v>0.2</v>
      </c>
      <c r="M13" s="69"/>
      <c r="N13" s="69"/>
    </row>
    <row r="14" spans="1:14" x14ac:dyDescent="0.25">
      <c r="A14" s="42" t="s">
        <v>44</v>
      </c>
      <c r="B14" s="102">
        <v>14040</v>
      </c>
      <c r="C14" s="68">
        <v>5</v>
      </c>
      <c r="D14" s="63"/>
      <c r="E14" s="42" t="s">
        <v>142</v>
      </c>
      <c r="F14" s="198">
        <v>48000</v>
      </c>
      <c r="G14" s="145">
        <v>0.5</v>
      </c>
      <c r="H14" s="69"/>
      <c r="I14" s="42"/>
      <c r="J14" s="42" t="s">
        <v>142</v>
      </c>
      <c r="K14" s="198">
        <v>48000</v>
      </c>
      <c r="L14" s="145">
        <v>0.3</v>
      </c>
      <c r="M14" s="69"/>
      <c r="N14" s="69"/>
    </row>
    <row r="15" spans="1:14" ht="15.75" thickBot="1" x14ac:dyDescent="0.3">
      <c r="A15" s="42"/>
      <c r="B15" s="146">
        <v>18477</v>
      </c>
      <c r="C15" s="147">
        <v>6</v>
      </c>
      <c r="D15" s="63"/>
      <c r="E15" s="42" t="s">
        <v>264</v>
      </c>
      <c r="F15" s="98">
        <v>960</v>
      </c>
      <c r="G15" s="145">
        <v>0.5</v>
      </c>
      <c r="H15" s="69"/>
      <c r="I15" s="42"/>
      <c r="J15" s="42" t="s">
        <v>272</v>
      </c>
      <c r="K15" s="98">
        <v>960</v>
      </c>
      <c r="L15" s="145">
        <v>0.2</v>
      </c>
      <c r="M15" s="69"/>
      <c r="N15" s="69"/>
    </row>
    <row r="16" spans="1:14" ht="15.75" thickTop="1" x14ac:dyDescent="0.25">
      <c r="A16" s="8" t="s">
        <v>148</v>
      </c>
      <c r="B16" s="101"/>
      <c r="C16" s="10"/>
      <c r="D16" s="63"/>
      <c r="E16" s="4" t="s">
        <v>143</v>
      </c>
      <c r="F16" s="98">
        <v>75</v>
      </c>
      <c r="G16" s="145">
        <v>0.5</v>
      </c>
      <c r="H16" s="42"/>
      <c r="I16" s="42"/>
      <c r="J16" s="4" t="s">
        <v>274</v>
      </c>
      <c r="K16" s="98">
        <v>75</v>
      </c>
      <c r="L16" s="145">
        <v>0.3</v>
      </c>
      <c r="M16" s="42"/>
      <c r="N16" s="42"/>
    </row>
    <row r="17" spans="1:14" x14ac:dyDescent="0.25">
      <c r="A17" s="42" t="s">
        <v>260</v>
      </c>
      <c r="B17" s="102">
        <v>2070</v>
      </c>
      <c r="C17" s="68">
        <v>2</v>
      </c>
      <c r="D17" s="63"/>
      <c r="E17" s="42" t="s">
        <v>265</v>
      </c>
      <c r="F17" s="98">
        <v>2063.9999999999995</v>
      </c>
      <c r="G17" s="145">
        <v>5</v>
      </c>
      <c r="H17" s="69"/>
      <c r="I17" s="42"/>
      <c r="J17" s="42" t="s">
        <v>276</v>
      </c>
      <c r="K17" s="98">
        <v>3510</v>
      </c>
      <c r="L17" s="148">
        <v>1</v>
      </c>
      <c r="M17" s="42"/>
      <c r="N17" s="42"/>
    </row>
    <row r="18" spans="1:14" ht="15.75" thickBot="1" x14ac:dyDescent="0.3">
      <c r="A18" s="42" t="s">
        <v>261</v>
      </c>
      <c r="B18" s="102">
        <v>1883.9999999999998</v>
      </c>
      <c r="C18" s="68">
        <v>5</v>
      </c>
      <c r="D18" s="63"/>
      <c r="E18" s="42"/>
      <c r="F18" s="146">
        <v>51279</v>
      </c>
      <c r="G18" s="147">
        <v>7</v>
      </c>
      <c r="H18" s="42"/>
      <c r="I18" s="42"/>
      <c r="J18" s="42" t="s">
        <v>277</v>
      </c>
      <c r="K18" s="98">
        <v>5955</v>
      </c>
      <c r="L18" s="145">
        <v>2.5</v>
      </c>
      <c r="M18" s="69"/>
      <c r="N18" s="42"/>
    </row>
    <row r="19" spans="1:14" ht="16.5" thickTop="1" thickBot="1" x14ac:dyDescent="0.3">
      <c r="A19" s="42"/>
      <c r="B19" s="146">
        <v>3954</v>
      </c>
      <c r="C19" s="147">
        <v>7</v>
      </c>
      <c r="D19" s="63"/>
      <c r="E19" s="65" t="s">
        <v>267</v>
      </c>
      <c r="F19" s="98"/>
      <c r="G19" s="145"/>
      <c r="H19" s="69"/>
      <c r="I19" s="42"/>
      <c r="J19" s="42"/>
      <c r="K19" s="146">
        <v>58680</v>
      </c>
      <c r="L19" s="147">
        <v>4.5</v>
      </c>
      <c r="M19" s="42"/>
      <c r="N19" s="42"/>
    </row>
    <row r="20" spans="1:14" ht="15.75" thickTop="1" x14ac:dyDescent="0.25">
      <c r="A20" s="8" t="s">
        <v>262</v>
      </c>
      <c r="B20" s="102"/>
      <c r="C20" s="68"/>
      <c r="D20" s="63"/>
      <c r="E20" s="67" t="s">
        <v>266</v>
      </c>
      <c r="F20" s="98">
        <v>13500</v>
      </c>
      <c r="G20" s="145"/>
      <c r="H20" s="71">
        <v>0.5</v>
      </c>
      <c r="I20" s="42"/>
      <c r="J20" s="65" t="s">
        <v>22</v>
      </c>
      <c r="K20" s="98"/>
      <c r="L20" s="145"/>
      <c r="M20" s="69"/>
      <c r="N20" s="42"/>
    </row>
    <row r="21" spans="1:14" x14ac:dyDescent="0.25">
      <c r="A21" s="42" t="s">
        <v>147</v>
      </c>
      <c r="B21" s="102">
        <v>360</v>
      </c>
      <c r="C21" s="68">
        <v>0.5</v>
      </c>
      <c r="D21" s="63"/>
      <c r="E21" s="67" t="s">
        <v>46</v>
      </c>
      <c r="F21" s="98">
        <v>48923.999999999993</v>
      </c>
      <c r="G21" s="145"/>
      <c r="H21" s="71">
        <v>0.33333333333333331</v>
      </c>
      <c r="I21" s="42"/>
      <c r="J21" s="67" t="s">
        <v>252</v>
      </c>
      <c r="K21" s="98">
        <v>13500</v>
      </c>
      <c r="L21" s="145"/>
      <c r="M21" s="71">
        <v>0.5</v>
      </c>
      <c r="N21" s="42"/>
    </row>
    <row r="22" spans="1:14" x14ac:dyDescent="0.25">
      <c r="A22" s="42" t="s">
        <v>259</v>
      </c>
      <c r="B22" s="102">
        <v>0</v>
      </c>
      <c r="C22" s="68">
        <v>0</v>
      </c>
      <c r="D22" s="63"/>
      <c r="E22" s="67" t="s">
        <v>47</v>
      </c>
      <c r="F22" s="98">
        <v>60480</v>
      </c>
      <c r="G22" s="145"/>
      <c r="H22" s="71">
        <v>8.6999999999999993</v>
      </c>
      <c r="I22" s="42"/>
      <c r="J22" s="67" t="s">
        <v>46</v>
      </c>
      <c r="K22" s="98">
        <v>48923.999999999993</v>
      </c>
      <c r="L22" s="145"/>
      <c r="M22" s="71">
        <v>0.33333333333333331</v>
      </c>
      <c r="N22" s="42"/>
    </row>
    <row r="23" spans="1:14" ht="15.75" thickBot="1" x14ac:dyDescent="0.3">
      <c r="A23" s="42" t="s">
        <v>44</v>
      </c>
      <c r="B23" s="102">
        <v>0</v>
      </c>
      <c r="C23" s="68">
        <v>0</v>
      </c>
      <c r="D23" s="63"/>
      <c r="E23" s="67"/>
      <c r="F23" s="146">
        <v>122904</v>
      </c>
      <c r="G23" s="42"/>
      <c r="H23" s="147">
        <v>9.5333333333333332</v>
      </c>
      <c r="I23" s="42"/>
      <c r="J23" s="67" t="s">
        <v>47</v>
      </c>
      <c r="K23" s="98">
        <v>60480</v>
      </c>
      <c r="L23" s="145"/>
      <c r="M23" s="71">
        <v>8.6999999999999993</v>
      </c>
      <c r="N23" s="42"/>
    </row>
    <row r="24" spans="1:14" ht="16.5" thickTop="1" thickBot="1" x14ac:dyDescent="0.3">
      <c r="A24" s="42"/>
      <c r="B24" s="146">
        <v>360</v>
      </c>
      <c r="C24" s="147">
        <v>0.5</v>
      </c>
      <c r="D24" s="63"/>
      <c r="E24" s="8" t="s">
        <v>279</v>
      </c>
      <c r="F24" s="98"/>
      <c r="G24" s="145"/>
      <c r="H24" s="70"/>
      <c r="I24" s="42"/>
      <c r="J24" s="67"/>
      <c r="K24" s="146">
        <v>122904</v>
      </c>
      <c r="L24" s="148"/>
      <c r="M24" s="147">
        <v>9.5333333333333332</v>
      </c>
      <c r="N24" s="42"/>
    </row>
    <row r="25" spans="1:14" ht="16.5" thickTop="1" thickBot="1" x14ac:dyDescent="0.3">
      <c r="A25" s="66" t="s">
        <v>214</v>
      </c>
      <c r="B25" s="149">
        <v>35925</v>
      </c>
      <c r="C25" s="151">
        <v>20.5</v>
      </c>
      <c r="D25" s="63"/>
      <c r="E25" s="42" t="s">
        <v>144</v>
      </c>
      <c r="F25" s="98">
        <v>180</v>
      </c>
      <c r="G25" s="145">
        <v>0.5</v>
      </c>
      <c r="H25" s="69"/>
      <c r="I25" s="42"/>
      <c r="J25" s="8" t="s">
        <v>279</v>
      </c>
      <c r="K25" s="98"/>
      <c r="L25" s="145"/>
      <c r="M25" s="70"/>
      <c r="N25" s="42"/>
    </row>
    <row r="26" spans="1:14" ht="15.75" thickTop="1" x14ac:dyDescent="0.25">
      <c r="A26" s="42"/>
      <c r="B26" s="42"/>
      <c r="C26" s="63"/>
      <c r="D26" s="63"/>
      <c r="E26" s="42" t="s">
        <v>142</v>
      </c>
      <c r="F26" s="198">
        <v>48000</v>
      </c>
      <c r="G26" s="145">
        <v>0.5</v>
      </c>
      <c r="H26" s="69"/>
      <c r="I26" s="42"/>
      <c r="J26" s="42" t="s">
        <v>144</v>
      </c>
      <c r="K26" s="98">
        <v>180</v>
      </c>
      <c r="L26" s="145">
        <v>0.2</v>
      </c>
      <c r="M26" s="69"/>
      <c r="N26" s="42"/>
    </row>
    <row r="27" spans="1:14" x14ac:dyDescent="0.25">
      <c r="A27" s="42"/>
      <c r="B27" s="42"/>
      <c r="C27" s="63"/>
      <c r="D27" s="63"/>
      <c r="E27" s="42" t="s">
        <v>273</v>
      </c>
      <c r="F27" s="98">
        <v>960</v>
      </c>
      <c r="G27" s="145">
        <v>0.5</v>
      </c>
      <c r="H27" s="69"/>
      <c r="I27" s="42"/>
      <c r="J27" s="42" t="s">
        <v>142</v>
      </c>
      <c r="K27" s="198">
        <v>48000</v>
      </c>
      <c r="L27" s="145">
        <v>0.3</v>
      </c>
      <c r="M27" s="69"/>
      <c r="N27" s="42"/>
    </row>
    <row r="28" spans="1:14" x14ac:dyDescent="0.25">
      <c r="A28" s="42"/>
      <c r="B28" s="42"/>
      <c r="C28" s="63"/>
      <c r="D28" s="63"/>
      <c r="E28" s="4" t="s">
        <v>143</v>
      </c>
      <c r="F28" s="98">
        <v>75</v>
      </c>
      <c r="G28" s="145">
        <v>0.5</v>
      </c>
      <c r="H28" s="69"/>
      <c r="I28" s="42"/>
      <c r="J28" s="42" t="s">
        <v>281</v>
      </c>
      <c r="K28" s="98">
        <v>960</v>
      </c>
      <c r="L28" s="145">
        <v>0.2</v>
      </c>
      <c r="M28" s="69"/>
      <c r="N28" s="42"/>
    </row>
    <row r="29" spans="1:14" x14ac:dyDescent="0.25">
      <c r="A29" s="42"/>
      <c r="B29" s="42"/>
      <c r="C29" s="63"/>
      <c r="D29" s="63"/>
      <c r="E29" s="42" t="s">
        <v>265</v>
      </c>
      <c r="F29" s="98">
        <v>2063.9999999999995</v>
      </c>
      <c r="G29" s="145">
        <v>5</v>
      </c>
      <c r="H29" s="69"/>
      <c r="I29" s="42"/>
      <c r="J29" s="4" t="s">
        <v>274</v>
      </c>
      <c r="K29" s="98">
        <v>75</v>
      </c>
      <c r="L29" s="145">
        <v>0.3</v>
      </c>
      <c r="M29" s="69"/>
      <c r="N29" s="42"/>
    </row>
    <row r="30" spans="1:14" ht="15.75" thickBot="1" x14ac:dyDescent="0.3">
      <c r="A30" s="42"/>
      <c r="B30" s="42"/>
      <c r="C30" s="63"/>
      <c r="D30" s="63"/>
      <c r="E30" s="8"/>
      <c r="F30" s="146">
        <v>51279</v>
      </c>
      <c r="G30" s="147">
        <v>7</v>
      </c>
      <c r="H30" s="69"/>
      <c r="I30" s="42"/>
      <c r="J30" s="42" t="s">
        <v>276</v>
      </c>
      <c r="K30" s="98">
        <v>3510</v>
      </c>
      <c r="L30" s="148">
        <v>1</v>
      </c>
      <c r="M30" s="69"/>
      <c r="N30" s="42"/>
    </row>
    <row r="31" spans="1:14" ht="15.75" thickTop="1" x14ac:dyDescent="0.25">
      <c r="A31" s="42"/>
      <c r="B31" s="42"/>
      <c r="C31" s="63"/>
      <c r="D31" s="63"/>
      <c r="E31" s="8" t="s">
        <v>280</v>
      </c>
      <c r="F31" s="98"/>
      <c r="G31" s="145"/>
      <c r="H31" s="69"/>
      <c r="I31" s="42"/>
      <c r="J31" s="42" t="s">
        <v>277</v>
      </c>
      <c r="K31" s="98">
        <v>5955</v>
      </c>
      <c r="L31" s="145">
        <v>2.5</v>
      </c>
      <c r="M31" s="69"/>
      <c r="N31" s="69"/>
    </row>
    <row r="32" spans="1:14" ht="15.75" thickBot="1" x14ac:dyDescent="0.3">
      <c r="A32" s="42"/>
      <c r="B32" s="42"/>
      <c r="C32" s="63"/>
      <c r="D32" s="63"/>
      <c r="E32" s="42" t="s">
        <v>144</v>
      </c>
      <c r="F32" s="98">
        <v>180</v>
      </c>
      <c r="G32" s="145">
        <v>0.5</v>
      </c>
      <c r="H32" s="69"/>
      <c r="I32" s="42"/>
      <c r="J32" s="8"/>
      <c r="K32" s="146">
        <v>58680</v>
      </c>
      <c r="L32" s="147">
        <v>4.5</v>
      </c>
      <c r="M32" s="69"/>
      <c r="N32" s="69"/>
    </row>
    <row r="33" spans="1:14" ht="15.75" thickTop="1" x14ac:dyDescent="0.25">
      <c r="A33" s="42"/>
      <c r="B33" s="42"/>
      <c r="C33" s="63"/>
      <c r="D33" s="63"/>
      <c r="E33" s="42" t="s">
        <v>268</v>
      </c>
      <c r="F33" s="198">
        <v>48000</v>
      </c>
      <c r="G33" s="145">
        <v>0.5</v>
      </c>
      <c r="H33" s="69"/>
      <c r="I33" s="42"/>
      <c r="J33" s="8" t="s">
        <v>280</v>
      </c>
      <c r="K33" s="98"/>
      <c r="L33" s="145"/>
      <c r="M33" s="69"/>
      <c r="N33" s="69"/>
    </row>
    <row r="34" spans="1:14" x14ac:dyDescent="0.25">
      <c r="A34" s="42"/>
      <c r="B34" s="42"/>
      <c r="C34" s="63"/>
      <c r="D34" s="63"/>
      <c r="E34" s="42" t="s">
        <v>273</v>
      </c>
      <c r="F34" s="98">
        <v>960</v>
      </c>
      <c r="G34" s="145">
        <v>0.5</v>
      </c>
      <c r="H34" s="69"/>
      <c r="I34" s="42"/>
      <c r="J34" s="42" t="s">
        <v>144</v>
      </c>
      <c r="K34" s="98">
        <v>180</v>
      </c>
      <c r="L34" s="145">
        <v>0.2</v>
      </c>
      <c r="M34" s="69"/>
      <c r="N34" s="69"/>
    </row>
    <row r="35" spans="1:14" x14ac:dyDescent="0.25">
      <c r="A35" s="42"/>
      <c r="B35" s="42"/>
      <c r="C35" s="63"/>
      <c r="D35" s="63"/>
      <c r="E35" s="4" t="s">
        <v>143</v>
      </c>
      <c r="F35" s="98">
        <v>75</v>
      </c>
      <c r="G35" s="145">
        <v>0.5</v>
      </c>
      <c r="H35" s="69"/>
      <c r="I35" s="42"/>
      <c r="J35" s="42" t="s">
        <v>142</v>
      </c>
      <c r="K35" s="198">
        <v>48000</v>
      </c>
      <c r="L35" s="145">
        <v>0.3</v>
      </c>
      <c r="M35" s="69"/>
      <c r="N35" s="69"/>
    </row>
    <row r="36" spans="1:14" ht="15.75" thickBot="1" x14ac:dyDescent="0.3">
      <c r="A36" s="42"/>
      <c r="B36" s="42"/>
      <c r="C36" s="63"/>
      <c r="D36" s="63"/>
      <c r="E36" s="1"/>
      <c r="F36" s="146">
        <v>49215</v>
      </c>
      <c r="G36" s="147">
        <v>2</v>
      </c>
      <c r="H36" s="69"/>
      <c r="I36" s="42"/>
      <c r="J36" s="42" t="s">
        <v>281</v>
      </c>
      <c r="K36" s="98">
        <v>960</v>
      </c>
      <c r="L36" s="145">
        <v>0.2</v>
      </c>
      <c r="M36" s="69"/>
      <c r="N36" s="69"/>
    </row>
    <row r="37" spans="1:14" ht="16.5" thickTop="1" thickBot="1" x14ac:dyDescent="0.3">
      <c r="A37" s="42"/>
      <c r="B37" s="42"/>
      <c r="C37" s="63"/>
      <c r="D37" s="63"/>
      <c r="E37" s="66" t="s">
        <v>48</v>
      </c>
      <c r="F37" s="149">
        <v>359991</v>
      </c>
      <c r="G37" s="150">
        <v>23</v>
      </c>
      <c r="H37" s="69"/>
      <c r="I37" s="42"/>
      <c r="J37" s="4" t="s">
        <v>274</v>
      </c>
      <c r="K37" s="98">
        <v>75</v>
      </c>
      <c r="L37" s="145">
        <v>0.3</v>
      </c>
      <c r="M37" s="69"/>
      <c r="N37" s="69"/>
    </row>
    <row r="38" spans="1:14" ht="15.75" thickTop="1" x14ac:dyDescent="0.25">
      <c r="A38" s="42"/>
      <c r="B38" s="42"/>
      <c r="C38" s="63"/>
      <c r="D38" s="63"/>
      <c r="E38" s="63"/>
      <c r="F38" s="63"/>
      <c r="G38" s="63"/>
      <c r="H38" s="69"/>
      <c r="I38" s="42"/>
      <c r="J38" s="42" t="s">
        <v>276</v>
      </c>
      <c r="K38" s="98">
        <v>3510</v>
      </c>
      <c r="L38" s="148">
        <v>1</v>
      </c>
      <c r="M38" s="69"/>
      <c r="N38" s="69"/>
    </row>
    <row r="39" spans="1:14" ht="19.5" thickBot="1" x14ac:dyDescent="0.35">
      <c r="A39" s="42"/>
      <c r="B39" s="42"/>
      <c r="C39" s="63"/>
      <c r="D39" s="63"/>
      <c r="E39" s="188" t="s">
        <v>60</v>
      </c>
      <c r="F39" s="189">
        <v>10.02062630480167</v>
      </c>
      <c r="G39" s="189"/>
      <c r="H39" s="69"/>
      <c r="I39" s="42"/>
      <c r="J39" s="42" t="s">
        <v>277</v>
      </c>
      <c r="K39" s="98">
        <v>5955</v>
      </c>
      <c r="L39" s="145">
        <v>2.5</v>
      </c>
      <c r="M39" s="69"/>
      <c r="N39" s="69"/>
    </row>
    <row r="40" spans="1:14" ht="20.25" thickTop="1" thickBot="1" x14ac:dyDescent="0.35">
      <c r="A40" s="42"/>
      <c r="B40" s="42"/>
      <c r="C40" s="63"/>
      <c r="D40" s="63"/>
      <c r="E40" s="190" t="s">
        <v>50</v>
      </c>
      <c r="F40" s="191">
        <v>216000</v>
      </c>
      <c r="G40" s="192"/>
      <c r="H40" s="69"/>
      <c r="I40" s="42"/>
      <c r="J40" s="8"/>
      <c r="K40" s="146">
        <v>58680</v>
      </c>
      <c r="L40" s="147">
        <v>4.5</v>
      </c>
      <c r="M40" s="69"/>
      <c r="N40" s="69"/>
    </row>
    <row r="41" spans="1:14" ht="19.5" thickTop="1" x14ac:dyDescent="0.3">
      <c r="A41" s="42"/>
      <c r="B41" s="42"/>
      <c r="C41" s="63"/>
      <c r="D41" s="63"/>
      <c r="E41" s="190" t="s">
        <v>51</v>
      </c>
      <c r="F41" s="191">
        <v>143991</v>
      </c>
      <c r="G41" s="192"/>
      <c r="H41" s="63"/>
      <c r="I41" s="42"/>
      <c r="J41" s="8" t="s">
        <v>156</v>
      </c>
      <c r="K41" s="98"/>
      <c r="L41" s="145"/>
      <c r="M41" s="69"/>
      <c r="N41" s="63"/>
    </row>
    <row r="42" spans="1:14" ht="18.75" x14ac:dyDescent="0.3">
      <c r="A42" s="42"/>
      <c r="B42" s="42"/>
      <c r="C42" s="63"/>
      <c r="D42" s="63"/>
      <c r="E42" s="193" t="s">
        <v>57</v>
      </c>
      <c r="F42" s="194">
        <v>0.39998499962499062</v>
      </c>
      <c r="G42" s="195"/>
      <c r="H42" s="63"/>
      <c r="I42" s="42"/>
      <c r="J42" s="42" t="s">
        <v>144</v>
      </c>
      <c r="K42" s="98">
        <v>180</v>
      </c>
      <c r="L42" s="145">
        <v>0.2</v>
      </c>
      <c r="M42" s="63"/>
      <c r="N42" s="63"/>
    </row>
    <row r="43" spans="1:14" ht="18.75" x14ac:dyDescent="0.3">
      <c r="A43" s="42"/>
      <c r="B43" s="42"/>
      <c r="C43" s="63"/>
      <c r="D43" s="63"/>
      <c r="E43" s="193" t="s">
        <v>58</v>
      </c>
      <c r="F43" s="194">
        <v>0.60001500037500932</v>
      </c>
      <c r="G43" s="195"/>
      <c r="H43" s="72"/>
      <c r="I43" s="42"/>
      <c r="J43" s="42" t="s">
        <v>142</v>
      </c>
      <c r="K43" s="198">
        <v>48000</v>
      </c>
      <c r="L43" s="145">
        <v>0.3</v>
      </c>
      <c r="M43" s="63"/>
      <c r="N43" s="72"/>
    </row>
    <row r="44" spans="1:14" ht="18.75" x14ac:dyDescent="0.3">
      <c r="A44" s="42"/>
      <c r="B44" s="42"/>
      <c r="C44" s="63"/>
      <c r="D44" s="63"/>
      <c r="E44" s="42"/>
      <c r="F44" s="42"/>
      <c r="G44" s="42"/>
      <c r="H44" s="42"/>
      <c r="I44" s="42"/>
      <c r="J44" s="42" t="s">
        <v>281</v>
      </c>
      <c r="K44" s="98">
        <v>960</v>
      </c>
      <c r="L44" s="145">
        <v>0.2</v>
      </c>
      <c r="M44" s="72"/>
      <c r="N44" s="42"/>
    </row>
    <row r="45" spans="1:14" x14ac:dyDescent="0.25">
      <c r="A45" s="42"/>
      <c r="B45" s="42"/>
      <c r="C45" s="63"/>
      <c r="D45" s="63"/>
      <c r="E45" s="42"/>
      <c r="F45" s="42"/>
      <c r="G45" s="42"/>
      <c r="H45" s="42"/>
      <c r="I45" s="42"/>
      <c r="J45" s="4" t="s">
        <v>274</v>
      </c>
      <c r="K45" s="98">
        <v>75</v>
      </c>
      <c r="L45" s="145">
        <v>0.3</v>
      </c>
      <c r="M45" s="42"/>
      <c r="N45" s="42"/>
    </row>
    <row r="46" spans="1:14" ht="18.75" x14ac:dyDescent="0.3">
      <c r="A46" s="72"/>
      <c r="B46" s="72"/>
      <c r="C46" s="73"/>
      <c r="D46" s="73"/>
      <c r="E46" s="42"/>
      <c r="F46" s="42"/>
      <c r="G46" s="42"/>
      <c r="H46" s="42"/>
      <c r="I46" s="72"/>
      <c r="J46" s="42" t="s">
        <v>276</v>
      </c>
      <c r="K46" s="98">
        <v>3510</v>
      </c>
      <c r="L46" s="148">
        <v>1</v>
      </c>
      <c r="M46" s="42"/>
      <c r="N46" s="42"/>
    </row>
    <row r="47" spans="1:14" x14ac:dyDescent="0.25">
      <c r="A47" s="42"/>
      <c r="B47" s="42"/>
      <c r="C47" s="63"/>
      <c r="D47" s="63"/>
      <c r="E47" s="42"/>
      <c r="F47" s="42"/>
      <c r="G47" s="42"/>
      <c r="H47" s="42"/>
      <c r="I47" s="42"/>
      <c r="J47" s="42" t="s">
        <v>277</v>
      </c>
      <c r="K47" s="98">
        <v>5955</v>
      </c>
      <c r="L47" s="145">
        <v>2.5</v>
      </c>
      <c r="M47" s="42"/>
      <c r="N47" s="42"/>
    </row>
    <row r="48" spans="1:14" ht="15.75" thickBot="1" x14ac:dyDescent="0.3">
      <c r="A48" s="42"/>
      <c r="B48" s="42"/>
      <c r="C48" s="63"/>
      <c r="D48" s="63"/>
      <c r="E48" s="42"/>
      <c r="F48" s="42"/>
      <c r="G48" s="42"/>
      <c r="H48" s="42"/>
      <c r="I48" s="42"/>
      <c r="J48" s="8"/>
      <c r="K48" s="146">
        <v>58680</v>
      </c>
      <c r="L48" s="147">
        <v>4.5</v>
      </c>
      <c r="M48" s="42"/>
      <c r="N48" s="42"/>
    </row>
    <row r="49" spans="1:14" ht="16.5" thickTop="1" thickBot="1" x14ac:dyDescent="0.3">
      <c r="A49" s="42"/>
      <c r="B49" s="42"/>
      <c r="C49" s="63"/>
      <c r="D49" s="63"/>
      <c r="E49" s="42"/>
      <c r="F49" s="42"/>
      <c r="G49" s="42"/>
      <c r="H49" s="42"/>
      <c r="I49" s="42"/>
      <c r="J49" s="66" t="s">
        <v>48</v>
      </c>
      <c r="K49" s="149">
        <v>449889</v>
      </c>
      <c r="L49" s="150">
        <v>23.5</v>
      </c>
      <c r="M49" s="42"/>
      <c r="N49" s="42"/>
    </row>
    <row r="50" spans="1:14" ht="15.75" thickTop="1" x14ac:dyDescent="0.25">
      <c r="A50" s="42"/>
      <c r="B50" s="42"/>
      <c r="C50" s="63"/>
      <c r="D50" s="63"/>
      <c r="E50" s="42"/>
      <c r="F50" s="42"/>
      <c r="G50" s="42"/>
      <c r="H50" s="42"/>
      <c r="I50" s="42"/>
      <c r="J50" s="63"/>
      <c r="K50" s="63"/>
      <c r="L50" s="68"/>
      <c r="M50" s="42"/>
      <c r="N50" s="42"/>
    </row>
    <row r="51" spans="1:14" ht="19.5" thickBot="1" x14ac:dyDescent="0.35">
      <c r="A51" s="42"/>
      <c r="B51" s="42"/>
      <c r="C51" s="63"/>
      <c r="D51" s="63"/>
      <c r="E51" s="42"/>
      <c r="F51" s="42"/>
      <c r="G51" s="42"/>
      <c r="H51" s="42"/>
      <c r="I51" s="42"/>
      <c r="J51" s="188" t="s">
        <v>157</v>
      </c>
      <c r="K51" s="189">
        <v>12.523006263048016</v>
      </c>
      <c r="L51" s="189"/>
      <c r="M51" s="42"/>
      <c r="N51" s="42"/>
    </row>
    <row r="52" spans="1:14" ht="20.25" thickTop="1" thickBot="1" x14ac:dyDescent="0.35">
      <c r="A52" s="42"/>
      <c r="B52" s="42"/>
      <c r="C52" s="63"/>
      <c r="D52" s="63"/>
      <c r="E52" s="42"/>
      <c r="F52" s="42"/>
      <c r="G52" s="42"/>
      <c r="H52" s="42"/>
      <c r="I52" s="42"/>
      <c r="J52" s="188" t="s">
        <v>145</v>
      </c>
      <c r="K52" s="189">
        <v>1.2497229097394102</v>
      </c>
      <c r="L52" s="189"/>
      <c r="M52" s="42"/>
      <c r="N52" s="42"/>
    </row>
    <row r="53" spans="1:14" ht="19.5" thickTop="1" x14ac:dyDescent="0.3">
      <c r="A53" s="42"/>
      <c r="B53" s="42"/>
      <c r="C53" s="63"/>
      <c r="D53" s="63"/>
      <c r="E53" s="42"/>
      <c r="F53" s="42"/>
      <c r="G53" s="42"/>
      <c r="H53" s="42"/>
      <c r="I53" s="42"/>
      <c r="J53" s="190" t="s">
        <v>50</v>
      </c>
      <c r="K53" s="191">
        <v>264000</v>
      </c>
      <c r="L53" s="196"/>
      <c r="M53" s="42"/>
      <c r="N53" s="42"/>
    </row>
    <row r="54" spans="1:14" ht="18.75" x14ac:dyDescent="0.3">
      <c r="A54" s="42"/>
      <c r="B54" s="42"/>
      <c r="C54" s="63"/>
      <c r="D54" s="63"/>
      <c r="E54" s="42"/>
      <c r="F54" s="42"/>
      <c r="G54" s="42"/>
      <c r="H54" s="42"/>
      <c r="I54" s="42"/>
      <c r="J54" s="190" t="s">
        <v>51</v>
      </c>
      <c r="K54" s="191">
        <v>185889</v>
      </c>
      <c r="L54" s="196"/>
      <c r="M54" s="42"/>
      <c r="N54" s="42"/>
    </row>
    <row r="55" spans="1:14" ht="18.75" x14ac:dyDescent="0.3">
      <c r="A55" s="42"/>
      <c r="B55" s="42"/>
      <c r="C55" s="63"/>
      <c r="D55" s="63"/>
      <c r="E55" s="42"/>
      <c r="F55" s="42"/>
      <c r="G55" s="42"/>
      <c r="H55" s="42"/>
      <c r="I55" s="42"/>
      <c r="J55" s="193" t="s">
        <v>57</v>
      </c>
      <c r="K55" s="194">
        <v>0.41318858651800777</v>
      </c>
      <c r="L55" s="197"/>
      <c r="M55" s="42"/>
      <c r="N55" s="42"/>
    </row>
    <row r="56" spans="1:14" ht="18.75" x14ac:dyDescent="0.3">
      <c r="A56" s="42"/>
      <c r="B56" s="42"/>
      <c r="C56" s="63"/>
      <c r="D56" s="63"/>
      <c r="E56" s="42"/>
      <c r="F56" s="42"/>
      <c r="G56" s="42"/>
      <c r="H56" s="42"/>
      <c r="I56" s="42"/>
      <c r="J56" s="193" t="s">
        <v>58</v>
      </c>
      <c r="K56" s="194">
        <v>0.58681141348199217</v>
      </c>
      <c r="L56" s="197"/>
      <c r="M56" s="42"/>
      <c r="N56" s="42"/>
    </row>
    <row r="59" spans="1:14" x14ac:dyDescent="0.25">
      <c r="A59" s="43" t="s">
        <v>305</v>
      </c>
    </row>
    <row r="60" spans="1:14" x14ac:dyDescent="0.25">
      <c r="A60" s="199" t="s">
        <v>301</v>
      </c>
      <c r="B60" s="200" t="s">
        <v>215</v>
      </c>
      <c r="C60" s="200" t="s">
        <v>21</v>
      </c>
      <c r="D60" s="201"/>
      <c r="E60" s="199" t="s">
        <v>302</v>
      </c>
      <c r="F60" s="200" t="s">
        <v>215</v>
      </c>
      <c r="G60" s="200" t="s">
        <v>21</v>
      </c>
      <c r="H60" s="200" t="s">
        <v>21</v>
      </c>
      <c r="I60" s="202"/>
      <c r="J60" s="199" t="s">
        <v>303</v>
      </c>
      <c r="K60" s="200" t="s">
        <v>20</v>
      </c>
      <c r="L60" s="203" t="s">
        <v>21</v>
      </c>
      <c r="M60" s="200" t="s">
        <v>21</v>
      </c>
    </row>
    <row r="61" spans="1:14" x14ac:dyDescent="0.25">
      <c r="A61" s="42"/>
      <c r="B61" s="99"/>
      <c r="C61" s="63"/>
      <c r="D61" s="63"/>
      <c r="E61" s="4"/>
      <c r="F61" s="4"/>
      <c r="G61" s="4"/>
      <c r="H61" s="69"/>
      <c r="I61" s="42"/>
      <c r="J61" s="4"/>
      <c r="K61" s="4"/>
      <c r="L61" s="145"/>
      <c r="M61" s="69"/>
    </row>
    <row r="62" spans="1:14" x14ac:dyDescent="0.25">
      <c r="A62" s="8" t="s">
        <v>45</v>
      </c>
      <c r="B62" s="100"/>
      <c r="C62" s="9"/>
      <c r="D62" s="63"/>
      <c r="E62" s="8" t="s">
        <v>263</v>
      </c>
      <c r="F62" s="4"/>
      <c r="G62" s="145"/>
      <c r="H62" s="69"/>
      <c r="I62" s="42"/>
      <c r="J62" s="8" t="s">
        <v>269</v>
      </c>
      <c r="K62" s="4"/>
      <c r="L62" s="145"/>
      <c r="M62" s="69"/>
    </row>
    <row r="63" spans="1:14" x14ac:dyDescent="0.25">
      <c r="A63" s="1" t="s">
        <v>256</v>
      </c>
      <c r="B63" s="102">
        <v>9180</v>
      </c>
      <c r="C63" s="68">
        <v>0</v>
      </c>
      <c r="D63" s="63"/>
      <c r="E63" s="4" t="s">
        <v>216</v>
      </c>
      <c r="F63" s="198">
        <v>54000</v>
      </c>
      <c r="G63" s="145">
        <v>0</v>
      </c>
      <c r="H63" s="69"/>
      <c r="I63" s="42"/>
      <c r="J63" s="4" t="s">
        <v>189</v>
      </c>
      <c r="K63" s="198">
        <v>54000</v>
      </c>
      <c r="L63" s="145">
        <v>0</v>
      </c>
      <c r="M63" s="69"/>
    </row>
    <row r="64" spans="1:14" ht="15.75" thickBot="1" x14ac:dyDescent="0.3">
      <c r="A64" s="42"/>
      <c r="B64" s="146">
        <v>9180</v>
      </c>
      <c r="C64" s="147">
        <v>0</v>
      </c>
      <c r="D64" s="63"/>
      <c r="E64" s="4" t="s">
        <v>190</v>
      </c>
      <c r="F64" s="98">
        <v>9180</v>
      </c>
      <c r="G64" s="145">
        <v>0</v>
      </c>
      <c r="H64" s="69"/>
      <c r="I64" s="42"/>
      <c r="J64" s="4" t="s">
        <v>190</v>
      </c>
      <c r="K64" s="98">
        <v>9180</v>
      </c>
      <c r="L64" s="145">
        <v>0</v>
      </c>
      <c r="M64" s="69"/>
    </row>
    <row r="65" spans="1:13" ht="16.5" thickTop="1" thickBot="1" x14ac:dyDescent="0.3">
      <c r="A65" s="8" t="s">
        <v>146</v>
      </c>
      <c r="B65" s="101"/>
      <c r="C65" s="10"/>
      <c r="D65" s="63"/>
      <c r="E65" s="4"/>
      <c r="F65" s="146">
        <v>63180</v>
      </c>
      <c r="G65" s="147">
        <v>0</v>
      </c>
      <c r="H65" s="69"/>
      <c r="I65" s="42"/>
      <c r="J65" s="4"/>
      <c r="K65" s="146">
        <v>63180</v>
      </c>
      <c r="L65" s="147">
        <v>0</v>
      </c>
      <c r="M65" s="69"/>
    </row>
    <row r="66" spans="1:13" ht="15.75" thickTop="1" x14ac:dyDescent="0.25">
      <c r="A66" s="42" t="s">
        <v>149</v>
      </c>
      <c r="B66" s="102">
        <v>2070</v>
      </c>
      <c r="C66" s="68">
        <v>2</v>
      </c>
      <c r="D66" s="63"/>
      <c r="E66" s="8" t="s">
        <v>151</v>
      </c>
      <c r="F66" s="98"/>
      <c r="G66" s="145"/>
      <c r="H66" s="69"/>
      <c r="I66" s="42"/>
      <c r="J66" s="8" t="s">
        <v>151</v>
      </c>
      <c r="K66" s="98"/>
      <c r="L66" s="145"/>
      <c r="M66" s="69"/>
    </row>
    <row r="67" spans="1:13" x14ac:dyDescent="0.25">
      <c r="A67" s="42" t="s">
        <v>261</v>
      </c>
      <c r="B67" s="102">
        <v>1883.9999999999998</v>
      </c>
      <c r="C67" s="68">
        <v>5</v>
      </c>
      <c r="D67" s="63"/>
      <c r="E67" s="42" t="s">
        <v>150</v>
      </c>
      <c r="F67" s="98">
        <v>2070</v>
      </c>
      <c r="G67" s="145">
        <v>2</v>
      </c>
      <c r="H67" s="69"/>
      <c r="I67" s="42"/>
      <c r="J67" s="42" t="s">
        <v>270</v>
      </c>
      <c r="K67" s="98">
        <v>5130</v>
      </c>
      <c r="L67" s="145">
        <v>3</v>
      </c>
      <c r="M67" s="69"/>
    </row>
    <row r="68" spans="1:13" ht="15.75" thickBot="1" x14ac:dyDescent="0.3">
      <c r="A68" s="42"/>
      <c r="B68" s="146">
        <v>3954</v>
      </c>
      <c r="C68" s="147">
        <v>7</v>
      </c>
      <c r="D68" s="63"/>
      <c r="E68" s="42" t="s">
        <v>155</v>
      </c>
      <c r="F68" s="98">
        <v>2063.9999999999995</v>
      </c>
      <c r="G68" s="145">
        <v>5</v>
      </c>
      <c r="H68" s="69"/>
      <c r="I68" s="42"/>
      <c r="J68" s="42" t="s">
        <v>271</v>
      </c>
      <c r="K68" s="98">
        <v>5955</v>
      </c>
      <c r="L68" s="145">
        <v>2.5</v>
      </c>
      <c r="M68" s="69"/>
    </row>
    <row r="69" spans="1:13" ht="16.5" thickTop="1" thickBot="1" x14ac:dyDescent="0.3">
      <c r="A69" s="8" t="s">
        <v>257</v>
      </c>
      <c r="B69" s="101"/>
      <c r="C69" s="10"/>
      <c r="D69" s="63"/>
      <c r="E69" s="70"/>
      <c r="F69" s="146">
        <v>4134</v>
      </c>
      <c r="G69" s="147">
        <v>7</v>
      </c>
      <c r="H69" s="69"/>
      <c r="I69" s="42"/>
      <c r="J69" s="70"/>
      <c r="K69" s="146">
        <v>11085</v>
      </c>
      <c r="L69" s="147">
        <v>5.5</v>
      </c>
      <c r="M69" s="69"/>
    </row>
    <row r="70" spans="1:13" ht="15.75" thickTop="1" x14ac:dyDescent="0.25">
      <c r="A70" s="42" t="s">
        <v>258</v>
      </c>
      <c r="B70" s="102">
        <v>360</v>
      </c>
      <c r="C70" s="68">
        <v>0.5</v>
      </c>
      <c r="D70" s="63"/>
      <c r="E70" s="8" t="s">
        <v>278</v>
      </c>
      <c r="F70" s="98"/>
      <c r="G70" s="145"/>
      <c r="H70" s="69"/>
      <c r="I70" s="42"/>
      <c r="J70" s="8" t="s">
        <v>278</v>
      </c>
      <c r="K70" s="98"/>
      <c r="L70" s="145"/>
      <c r="M70" s="69"/>
    </row>
    <row r="71" spans="1:13" x14ac:dyDescent="0.25">
      <c r="A71" s="42" t="s">
        <v>259</v>
      </c>
      <c r="B71" s="102">
        <v>4076.9999999999995</v>
      </c>
      <c r="C71" s="68">
        <v>0.5</v>
      </c>
      <c r="D71" s="63"/>
      <c r="E71" s="42" t="s">
        <v>144</v>
      </c>
      <c r="F71" s="98">
        <v>180</v>
      </c>
      <c r="G71" s="145">
        <v>0.5</v>
      </c>
      <c r="H71" s="69"/>
      <c r="I71" s="42"/>
      <c r="J71" s="42" t="s">
        <v>144</v>
      </c>
      <c r="K71" s="98">
        <v>180</v>
      </c>
      <c r="L71" s="145">
        <v>0.2</v>
      </c>
      <c r="M71" s="69"/>
    </row>
    <row r="72" spans="1:13" x14ac:dyDescent="0.25">
      <c r="A72" s="42" t="s">
        <v>44</v>
      </c>
      <c r="B72" s="102">
        <v>14040</v>
      </c>
      <c r="C72" s="68">
        <v>5</v>
      </c>
      <c r="D72" s="63"/>
      <c r="E72" s="42" t="s">
        <v>142</v>
      </c>
      <c r="F72" s="198">
        <v>36000</v>
      </c>
      <c r="G72" s="145">
        <v>0.5</v>
      </c>
      <c r="H72" s="69"/>
      <c r="I72" s="42"/>
      <c r="J72" s="42" t="s">
        <v>142</v>
      </c>
      <c r="K72" s="198">
        <v>36000</v>
      </c>
      <c r="L72" s="145">
        <v>0.3</v>
      </c>
      <c r="M72" s="69"/>
    </row>
    <row r="73" spans="1:13" ht="15.75" thickBot="1" x14ac:dyDescent="0.3">
      <c r="A73" s="42"/>
      <c r="B73" s="146">
        <v>18477</v>
      </c>
      <c r="C73" s="147">
        <v>6</v>
      </c>
      <c r="D73" s="63"/>
      <c r="E73" s="42" t="s">
        <v>264</v>
      </c>
      <c r="F73" s="98">
        <v>960</v>
      </c>
      <c r="G73" s="145">
        <v>0.5</v>
      </c>
      <c r="H73" s="69"/>
      <c r="I73" s="42"/>
      <c r="J73" s="42" t="s">
        <v>272</v>
      </c>
      <c r="K73" s="98">
        <v>960</v>
      </c>
      <c r="L73" s="145">
        <v>0.2</v>
      </c>
      <c r="M73" s="69"/>
    </row>
    <row r="74" spans="1:13" ht="15.75" thickTop="1" x14ac:dyDescent="0.25">
      <c r="A74" s="8" t="s">
        <v>148</v>
      </c>
      <c r="B74" s="101"/>
      <c r="C74" s="10"/>
      <c r="D74" s="63"/>
      <c r="E74" s="4" t="s">
        <v>143</v>
      </c>
      <c r="F74" s="98">
        <v>75</v>
      </c>
      <c r="G74" s="145">
        <v>0.5</v>
      </c>
      <c r="H74" s="42"/>
      <c r="I74" s="42"/>
      <c r="J74" s="4" t="s">
        <v>274</v>
      </c>
      <c r="K74" s="98">
        <v>75</v>
      </c>
      <c r="L74" s="145">
        <v>0.3</v>
      </c>
      <c r="M74" s="42"/>
    </row>
    <row r="75" spans="1:13" x14ac:dyDescent="0.25">
      <c r="A75" s="42" t="s">
        <v>260</v>
      </c>
      <c r="B75" s="102">
        <v>2070</v>
      </c>
      <c r="C75" s="68">
        <v>2</v>
      </c>
      <c r="D75" s="63"/>
      <c r="E75" s="42" t="s">
        <v>265</v>
      </c>
      <c r="F75" s="98">
        <v>2063.9999999999995</v>
      </c>
      <c r="G75" s="145">
        <v>5</v>
      </c>
      <c r="H75" s="69"/>
      <c r="I75" s="42"/>
      <c r="J75" s="42" t="s">
        <v>276</v>
      </c>
      <c r="K75" s="98">
        <v>3510</v>
      </c>
      <c r="L75" s="148">
        <v>1</v>
      </c>
      <c r="M75" s="42"/>
    </row>
    <row r="76" spans="1:13" ht="15.75" thickBot="1" x14ac:dyDescent="0.3">
      <c r="A76" s="42" t="s">
        <v>261</v>
      </c>
      <c r="B76" s="102">
        <v>1883.9999999999998</v>
      </c>
      <c r="C76" s="68">
        <v>5</v>
      </c>
      <c r="D76" s="63"/>
      <c r="E76" s="42"/>
      <c r="F76" s="146">
        <v>39279</v>
      </c>
      <c r="G76" s="147">
        <v>7</v>
      </c>
      <c r="H76" s="42"/>
      <c r="I76" s="42"/>
      <c r="J76" s="42" t="s">
        <v>277</v>
      </c>
      <c r="K76" s="98">
        <v>5955</v>
      </c>
      <c r="L76" s="145">
        <v>2.5</v>
      </c>
      <c r="M76" s="69"/>
    </row>
    <row r="77" spans="1:13" ht="16.5" thickTop="1" thickBot="1" x14ac:dyDescent="0.3">
      <c r="A77" s="42"/>
      <c r="B77" s="146">
        <v>3954</v>
      </c>
      <c r="C77" s="147">
        <v>7</v>
      </c>
      <c r="D77" s="63"/>
      <c r="E77" s="65" t="s">
        <v>267</v>
      </c>
      <c r="F77" s="98"/>
      <c r="G77" s="145"/>
      <c r="H77" s="69"/>
      <c r="I77" s="42"/>
      <c r="J77" s="42"/>
      <c r="K77" s="146">
        <v>46680</v>
      </c>
      <c r="L77" s="147">
        <v>4.5</v>
      </c>
      <c r="M77" s="42"/>
    </row>
    <row r="78" spans="1:13" ht="15.75" thickTop="1" x14ac:dyDescent="0.25">
      <c r="A78" s="8" t="s">
        <v>262</v>
      </c>
      <c r="B78" s="102"/>
      <c r="C78" s="68"/>
      <c r="D78" s="63"/>
      <c r="E78" s="67" t="s">
        <v>266</v>
      </c>
      <c r="F78" s="98">
        <v>13500</v>
      </c>
      <c r="G78" s="145"/>
      <c r="H78" s="71">
        <v>0.5</v>
      </c>
      <c r="I78" s="42"/>
      <c r="J78" s="65" t="s">
        <v>22</v>
      </c>
      <c r="K78" s="98"/>
      <c r="L78" s="145"/>
      <c r="M78" s="69"/>
    </row>
    <row r="79" spans="1:13" x14ac:dyDescent="0.25">
      <c r="A79" s="42" t="s">
        <v>147</v>
      </c>
      <c r="B79" s="102">
        <v>360</v>
      </c>
      <c r="C79" s="68">
        <v>0.5</v>
      </c>
      <c r="D79" s="63"/>
      <c r="E79" s="67" t="s">
        <v>46</v>
      </c>
      <c r="F79" s="98">
        <v>48923.999999999993</v>
      </c>
      <c r="G79" s="145"/>
      <c r="H79" s="71">
        <v>0.33333333333333331</v>
      </c>
      <c r="I79" s="42"/>
      <c r="J79" s="67" t="s">
        <v>252</v>
      </c>
      <c r="K79" s="98">
        <v>13500</v>
      </c>
      <c r="L79" s="145"/>
      <c r="M79" s="71">
        <v>0.5</v>
      </c>
    </row>
    <row r="80" spans="1:13" x14ac:dyDescent="0.25">
      <c r="A80" s="42" t="s">
        <v>259</v>
      </c>
      <c r="B80" s="102">
        <v>0</v>
      </c>
      <c r="C80" s="68">
        <v>0</v>
      </c>
      <c r="D80" s="63"/>
      <c r="E80" s="67" t="s">
        <v>47</v>
      </c>
      <c r="F80" s="98">
        <v>60480</v>
      </c>
      <c r="G80" s="145"/>
      <c r="H80" s="71">
        <v>8.6999999999999993</v>
      </c>
      <c r="I80" s="42"/>
      <c r="J80" s="67" t="s">
        <v>46</v>
      </c>
      <c r="K80" s="98">
        <v>48923.999999999993</v>
      </c>
      <c r="L80" s="145"/>
      <c r="M80" s="71">
        <v>0.33333333333333331</v>
      </c>
    </row>
    <row r="81" spans="1:13" ht="15.75" thickBot="1" x14ac:dyDescent="0.3">
      <c r="A81" s="42" t="s">
        <v>44</v>
      </c>
      <c r="B81" s="102">
        <v>0</v>
      </c>
      <c r="C81" s="68">
        <v>0</v>
      </c>
      <c r="D81" s="63"/>
      <c r="E81" s="67"/>
      <c r="F81" s="146">
        <v>122904</v>
      </c>
      <c r="G81" s="42"/>
      <c r="H81" s="147">
        <v>9.5333333333333332</v>
      </c>
      <c r="I81" s="42"/>
      <c r="J81" s="67" t="s">
        <v>47</v>
      </c>
      <c r="K81" s="98">
        <v>60480</v>
      </c>
      <c r="L81" s="145"/>
      <c r="M81" s="71">
        <v>8.6999999999999993</v>
      </c>
    </row>
    <row r="82" spans="1:13" ht="16.5" thickTop="1" thickBot="1" x14ac:dyDescent="0.3">
      <c r="A82" s="42"/>
      <c r="B82" s="146">
        <v>360</v>
      </c>
      <c r="C82" s="147">
        <v>0.5</v>
      </c>
      <c r="D82" s="63"/>
      <c r="E82" s="8" t="s">
        <v>279</v>
      </c>
      <c r="F82" s="98"/>
      <c r="G82" s="145"/>
      <c r="H82" s="70"/>
      <c r="I82" s="42"/>
      <c r="J82" s="67"/>
      <c r="K82" s="146">
        <v>122904</v>
      </c>
      <c r="L82" s="148"/>
      <c r="M82" s="147">
        <v>9.5333333333333332</v>
      </c>
    </row>
    <row r="83" spans="1:13" ht="16.5" thickTop="1" thickBot="1" x14ac:dyDescent="0.3">
      <c r="A83" s="66" t="s">
        <v>214</v>
      </c>
      <c r="B83" s="149">
        <v>35925</v>
      </c>
      <c r="C83" s="151">
        <v>20.5</v>
      </c>
      <c r="D83" s="63"/>
      <c r="E83" s="42" t="s">
        <v>144</v>
      </c>
      <c r="F83" s="98">
        <v>180</v>
      </c>
      <c r="G83" s="145">
        <v>0.5</v>
      </c>
      <c r="H83" s="69"/>
      <c r="I83" s="42"/>
      <c r="J83" s="8" t="s">
        <v>279</v>
      </c>
      <c r="K83" s="98"/>
      <c r="L83" s="145"/>
      <c r="M83" s="70"/>
    </row>
    <row r="84" spans="1:13" ht="15.75" thickTop="1" x14ac:dyDescent="0.25">
      <c r="A84" s="42"/>
      <c r="B84" s="42"/>
      <c r="C84" s="63"/>
      <c r="D84" s="63"/>
      <c r="E84" s="42" t="s">
        <v>142</v>
      </c>
      <c r="F84" s="198">
        <v>36000</v>
      </c>
      <c r="G84" s="145">
        <v>0.5</v>
      </c>
      <c r="H84" s="69"/>
      <c r="I84" s="42"/>
      <c r="J84" s="42" t="s">
        <v>144</v>
      </c>
      <c r="K84" s="98">
        <v>180</v>
      </c>
      <c r="L84" s="145">
        <v>0.2</v>
      </c>
      <c r="M84" s="69"/>
    </row>
    <row r="85" spans="1:13" x14ac:dyDescent="0.25">
      <c r="A85" s="42"/>
      <c r="B85" s="42"/>
      <c r="C85" s="63"/>
      <c r="D85" s="63"/>
      <c r="E85" s="42" t="s">
        <v>273</v>
      </c>
      <c r="F85" s="98">
        <v>960</v>
      </c>
      <c r="G85" s="145">
        <v>0.5</v>
      </c>
      <c r="H85" s="69"/>
      <c r="I85" s="42"/>
      <c r="J85" s="42" t="s">
        <v>142</v>
      </c>
      <c r="K85" s="198">
        <v>36000</v>
      </c>
      <c r="L85" s="145">
        <v>0.3</v>
      </c>
      <c r="M85" s="69"/>
    </row>
    <row r="86" spans="1:13" x14ac:dyDescent="0.25">
      <c r="A86" s="42"/>
      <c r="B86" s="42"/>
      <c r="C86" s="63"/>
      <c r="D86" s="63"/>
      <c r="E86" s="4" t="s">
        <v>143</v>
      </c>
      <c r="F86" s="98">
        <v>75</v>
      </c>
      <c r="G86" s="145">
        <v>0.5</v>
      </c>
      <c r="H86" s="69"/>
      <c r="I86" s="42"/>
      <c r="J86" s="42" t="s">
        <v>281</v>
      </c>
      <c r="K86" s="98">
        <v>960</v>
      </c>
      <c r="L86" s="145">
        <v>0.2</v>
      </c>
      <c r="M86" s="69"/>
    </row>
    <row r="87" spans="1:13" x14ac:dyDescent="0.25">
      <c r="A87" s="42"/>
      <c r="B87" s="42"/>
      <c r="C87" s="63"/>
      <c r="D87" s="63"/>
      <c r="E87" s="42" t="s">
        <v>265</v>
      </c>
      <c r="F87" s="98">
        <v>2063.9999999999995</v>
      </c>
      <c r="G87" s="145">
        <v>5</v>
      </c>
      <c r="H87" s="69"/>
      <c r="I87" s="42"/>
      <c r="J87" s="4" t="s">
        <v>274</v>
      </c>
      <c r="K87" s="98">
        <v>75</v>
      </c>
      <c r="L87" s="145">
        <v>0.3</v>
      </c>
      <c r="M87" s="69"/>
    </row>
    <row r="88" spans="1:13" ht="15.75" thickBot="1" x14ac:dyDescent="0.3">
      <c r="A88" s="42"/>
      <c r="B88" s="42"/>
      <c r="C88" s="63"/>
      <c r="D88" s="63"/>
      <c r="E88" s="8"/>
      <c r="F88" s="146">
        <v>39279</v>
      </c>
      <c r="G88" s="147">
        <v>7</v>
      </c>
      <c r="H88" s="69"/>
      <c r="I88" s="42"/>
      <c r="J88" s="42" t="s">
        <v>276</v>
      </c>
      <c r="K88" s="98">
        <v>3510</v>
      </c>
      <c r="L88" s="148">
        <v>1</v>
      </c>
      <c r="M88" s="69"/>
    </row>
    <row r="89" spans="1:13" ht="15.75" thickTop="1" x14ac:dyDescent="0.25">
      <c r="A89" s="42"/>
      <c r="B89" s="42"/>
      <c r="C89" s="63"/>
      <c r="D89" s="63"/>
      <c r="E89" s="8" t="s">
        <v>280</v>
      </c>
      <c r="F89" s="98"/>
      <c r="G89" s="145"/>
      <c r="H89" s="69"/>
      <c r="I89" s="42"/>
      <c r="J89" s="42" t="s">
        <v>277</v>
      </c>
      <c r="K89" s="98">
        <v>5955</v>
      </c>
      <c r="L89" s="145">
        <v>2.5</v>
      </c>
      <c r="M89" s="69"/>
    </row>
    <row r="90" spans="1:13" ht="15.75" thickBot="1" x14ac:dyDescent="0.3">
      <c r="A90" s="42"/>
      <c r="B90" s="42"/>
      <c r="C90" s="63"/>
      <c r="D90" s="63"/>
      <c r="E90" s="42" t="s">
        <v>144</v>
      </c>
      <c r="F90" s="98">
        <v>180</v>
      </c>
      <c r="G90" s="145">
        <v>0.5</v>
      </c>
      <c r="H90" s="69"/>
      <c r="I90" s="42"/>
      <c r="J90" s="8"/>
      <c r="K90" s="146">
        <v>46680</v>
      </c>
      <c r="L90" s="147">
        <v>4.5</v>
      </c>
      <c r="M90" s="69"/>
    </row>
    <row r="91" spans="1:13" ht="15.75" thickTop="1" x14ac:dyDescent="0.25">
      <c r="A91" s="42"/>
      <c r="B91" s="42"/>
      <c r="C91" s="63"/>
      <c r="D91" s="63"/>
      <c r="E91" s="42" t="s">
        <v>268</v>
      </c>
      <c r="F91" s="198">
        <v>36000</v>
      </c>
      <c r="G91" s="145">
        <v>0.5</v>
      </c>
      <c r="H91" s="69"/>
      <c r="I91" s="42"/>
      <c r="J91" s="8" t="s">
        <v>280</v>
      </c>
      <c r="K91" s="98"/>
      <c r="L91" s="145"/>
      <c r="M91" s="69"/>
    </row>
    <row r="92" spans="1:13" x14ac:dyDescent="0.25">
      <c r="A92" s="42"/>
      <c r="B92" s="42"/>
      <c r="C92" s="63"/>
      <c r="D92" s="63"/>
      <c r="E92" s="42" t="s">
        <v>273</v>
      </c>
      <c r="F92" s="98">
        <v>960</v>
      </c>
      <c r="G92" s="145">
        <v>0.5</v>
      </c>
      <c r="H92" s="69"/>
      <c r="I92" s="42"/>
      <c r="J92" s="42" t="s">
        <v>144</v>
      </c>
      <c r="K92" s="98">
        <v>180</v>
      </c>
      <c r="L92" s="145">
        <v>0.2</v>
      </c>
      <c r="M92" s="69"/>
    </row>
    <row r="93" spans="1:13" x14ac:dyDescent="0.25">
      <c r="A93" s="42"/>
      <c r="B93" s="42"/>
      <c r="C93" s="63"/>
      <c r="D93" s="63"/>
      <c r="E93" s="4" t="s">
        <v>143</v>
      </c>
      <c r="F93" s="98">
        <v>75</v>
      </c>
      <c r="G93" s="145">
        <v>0.5</v>
      </c>
      <c r="H93" s="69"/>
      <c r="I93" s="42"/>
      <c r="J93" s="42" t="s">
        <v>142</v>
      </c>
      <c r="K93" s="198">
        <v>36000</v>
      </c>
      <c r="L93" s="145">
        <v>0.3</v>
      </c>
      <c r="M93" s="69"/>
    </row>
    <row r="94" spans="1:13" ht="15.75" thickBot="1" x14ac:dyDescent="0.3">
      <c r="A94" s="42"/>
      <c r="B94" s="42"/>
      <c r="C94" s="63"/>
      <c r="D94" s="63"/>
      <c r="E94" s="1"/>
      <c r="F94" s="146">
        <v>37215</v>
      </c>
      <c r="G94" s="147">
        <v>2</v>
      </c>
      <c r="H94" s="69"/>
      <c r="I94" s="42"/>
      <c r="J94" s="42" t="s">
        <v>281</v>
      </c>
      <c r="K94" s="98">
        <v>960</v>
      </c>
      <c r="L94" s="145">
        <v>0.2</v>
      </c>
      <c r="M94" s="69"/>
    </row>
    <row r="95" spans="1:13" ht="16.5" thickTop="1" thickBot="1" x14ac:dyDescent="0.3">
      <c r="A95" s="42"/>
      <c r="B95" s="42"/>
      <c r="C95" s="63"/>
      <c r="D95" s="63"/>
      <c r="E95" s="66" t="s">
        <v>48</v>
      </c>
      <c r="F95" s="149">
        <v>305991</v>
      </c>
      <c r="G95" s="150">
        <v>23</v>
      </c>
      <c r="H95" s="69"/>
      <c r="I95" s="42"/>
      <c r="J95" s="4" t="s">
        <v>274</v>
      </c>
      <c r="K95" s="98">
        <v>75</v>
      </c>
      <c r="L95" s="145">
        <v>0.3</v>
      </c>
      <c r="M95" s="69"/>
    </row>
    <row r="96" spans="1:13" ht="15.75" thickTop="1" x14ac:dyDescent="0.25">
      <c r="A96" s="42"/>
      <c r="B96" s="42"/>
      <c r="C96" s="63"/>
      <c r="D96" s="63"/>
      <c r="E96" s="63"/>
      <c r="F96" s="63"/>
      <c r="G96" s="63"/>
      <c r="H96" s="69"/>
      <c r="I96" s="42"/>
      <c r="J96" s="42" t="s">
        <v>276</v>
      </c>
      <c r="K96" s="98">
        <v>3510</v>
      </c>
      <c r="L96" s="148">
        <v>1</v>
      </c>
      <c r="M96" s="69"/>
    </row>
    <row r="97" spans="1:13" ht="19.5" thickBot="1" x14ac:dyDescent="0.35">
      <c r="A97" s="42"/>
      <c r="B97" s="42"/>
      <c r="C97" s="63"/>
      <c r="D97" s="63"/>
      <c r="E97" s="188" t="s">
        <v>60</v>
      </c>
      <c r="F97" s="189">
        <v>8.517494780793319</v>
      </c>
      <c r="G97" s="189"/>
      <c r="H97" s="69"/>
      <c r="I97" s="42"/>
      <c r="J97" s="42" t="s">
        <v>277</v>
      </c>
      <c r="K97" s="98">
        <v>5955</v>
      </c>
      <c r="L97" s="145">
        <v>2.5</v>
      </c>
      <c r="M97" s="69"/>
    </row>
    <row r="98" spans="1:13" ht="20.25" thickTop="1" thickBot="1" x14ac:dyDescent="0.35">
      <c r="A98" s="42"/>
      <c r="B98" s="42"/>
      <c r="C98" s="63"/>
      <c r="D98" s="63"/>
      <c r="E98" s="190" t="s">
        <v>50</v>
      </c>
      <c r="F98" s="191">
        <v>162000</v>
      </c>
      <c r="G98" s="192"/>
      <c r="H98" s="69"/>
      <c r="I98" s="42"/>
      <c r="J98" s="8"/>
      <c r="K98" s="146">
        <v>46680</v>
      </c>
      <c r="L98" s="147">
        <v>4.5</v>
      </c>
      <c r="M98" s="69"/>
    </row>
    <row r="99" spans="1:13" ht="19.5" thickTop="1" x14ac:dyDescent="0.3">
      <c r="A99" s="42"/>
      <c r="B99" s="42"/>
      <c r="C99" s="63"/>
      <c r="D99" s="63"/>
      <c r="E99" s="190" t="s">
        <v>51</v>
      </c>
      <c r="F99" s="191">
        <v>143991</v>
      </c>
      <c r="G99" s="192"/>
      <c r="H99" s="63"/>
      <c r="I99" s="42"/>
      <c r="J99" s="8" t="s">
        <v>156</v>
      </c>
      <c r="K99" s="98"/>
      <c r="L99" s="145"/>
      <c r="M99" s="69"/>
    </row>
    <row r="100" spans="1:13" ht="18.75" x14ac:dyDescent="0.3">
      <c r="A100" s="42"/>
      <c r="B100" s="42"/>
      <c r="C100" s="63"/>
      <c r="D100" s="63"/>
      <c r="E100" s="193" t="s">
        <v>57</v>
      </c>
      <c r="F100" s="194">
        <v>0.47057266390187946</v>
      </c>
      <c r="G100" s="195"/>
      <c r="H100" s="63"/>
      <c r="I100" s="42"/>
      <c r="J100" s="42" t="s">
        <v>144</v>
      </c>
      <c r="K100" s="98">
        <v>180</v>
      </c>
      <c r="L100" s="145">
        <v>0.2</v>
      </c>
      <c r="M100" s="63"/>
    </row>
    <row r="101" spans="1:13" ht="18.75" x14ac:dyDescent="0.3">
      <c r="A101" s="42"/>
      <c r="B101" s="42"/>
      <c r="C101" s="63"/>
      <c r="D101" s="63"/>
      <c r="E101" s="193" t="s">
        <v>58</v>
      </c>
      <c r="F101" s="194">
        <v>0.52942733609812054</v>
      </c>
      <c r="G101" s="195"/>
      <c r="H101" s="72"/>
      <c r="I101" s="42"/>
      <c r="J101" s="42" t="s">
        <v>142</v>
      </c>
      <c r="K101" s="198">
        <v>36000</v>
      </c>
      <c r="L101" s="145">
        <v>0.3</v>
      </c>
      <c r="M101" s="63"/>
    </row>
    <row r="102" spans="1:13" ht="18.75" x14ac:dyDescent="0.3">
      <c r="A102" s="42"/>
      <c r="B102" s="42"/>
      <c r="C102" s="63"/>
      <c r="D102" s="63"/>
      <c r="E102" s="42"/>
      <c r="F102" s="42"/>
      <c r="G102" s="42"/>
      <c r="H102" s="42"/>
      <c r="I102" s="42"/>
      <c r="J102" s="42" t="s">
        <v>281</v>
      </c>
      <c r="K102" s="98">
        <v>960</v>
      </c>
      <c r="L102" s="145">
        <v>0.2</v>
      </c>
      <c r="M102" s="72"/>
    </row>
    <row r="103" spans="1:13" x14ac:dyDescent="0.25">
      <c r="A103" s="42"/>
      <c r="B103" s="42"/>
      <c r="C103" s="63"/>
      <c r="D103" s="63"/>
      <c r="E103" s="42"/>
      <c r="F103" s="42"/>
      <c r="G103" s="42"/>
      <c r="H103" s="42"/>
      <c r="I103" s="42"/>
      <c r="J103" s="4" t="s">
        <v>274</v>
      </c>
      <c r="K103" s="98">
        <v>75</v>
      </c>
      <c r="L103" s="145">
        <v>0.3</v>
      </c>
      <c r="M103" s="42"/>
    </row>
    <row r="104" spans="1:13" ht="18.75" x14ac:dyDescent="0.3">
      <c r="A104" s="72"/>
      <c r="B104" s="72"/>
      <c r="C104" s="73"/>
      <c r="D104" s="73"/>
      <c r="E104" s="42"/>
      <c r="F104" s="42"/>
      <c r="G104" s="42"/>
      <c r="H104" s="42"/>
      <c r="I104" s="72"/>
      <c r="J104" s="42" t="s">
        <v>276</v>
      </c>
      <c r="K104" s="98">
        <v>3510</v>
      </c>
      <c r="L104" s="148">
        <v>1</v>
      </c>
      <c r="M104" s="42"/>
    </row>
    <row r="105" spans="1:13" x14ac:dyDescent="0.25">
      <c r="A105" s="42"/>
      <c r="B105" s="42"/>
      <c r="C105" s="63"/>
      <c r="D105" s="63"/>
      <c r="E105" s="42"/>
      <c r="F105" s="42"/>
      <c r="G105" s="42"/>
      <c r="H105" s="42"/>
      <c r="I105" s="42"/>
      <c r="J105" s="42" t="s">
        <v>277</v>
      </c>
      <c r="K105" s="98">
        <v>5955</v>
      </c>
      <c r="L105" s="145">
        <v>2.5</v>
      </c>
      <c r="M105" s="42"/>
    </row>
    <row r="106" spans="1:13" ht="15.75" thickBot="1" x14ac:dyDescent="0.3">
      <c r="A106" s="42"/>
      <c r="B106" s="42"/>
      <c r="C106" s="63"/>
      <c r="D106" s="63"/>
      <c r="E106" s="42"/>
      <c r="F106" s="42"/>
      <c r="G106" s="42"/>
      <c r="H106" s="42"/>
      <c r="I106" s="42"/>
      <c r="J106" s="8"/>
      <c r="K106" s="146">
        <v>46680</v>
      </c>
      <c r="L106" s="147">
        <v>4.5</v>
      </c>
      <c r="M106" s="42"/>
    </row>
    <row r="107" spans="1:13" ht="16.5" thickTop="1" thickBot="1" x14ac:dyDescent="0.3">
      <c r="A107" s="42"/>
      <c r="B107" s="42"/>
      <c r="C107" s="63"/>
      <c r="D107" s="63"/>
      <c r="E107" s="42"/>
      <c r="F107" s="42"/>
      <c r="G107" s="42"/>
      <c r="H107" s="42"/>
      <c r="I107" s="42"/>
      <c r="J107" s="66" t="s">
        <v>48</v>
      </c>
      <c r="K107" s="149">
        <v>383889</v>
      </c>
      <c r="L107" s="150">
        <v>23.5</v>
      </c>
      <c r="M107" s="42"/>
    </row>
    <row r="108" spans="1:13" ht="15.75" thickTop="1" x14ac:dyDescent="0.25">
      <c r="A108" s="42"/>
      <c r="B108" s="42"/>
      <c r="C108" s="63"/>
      <c r="D108" s="63"/>
      <c r="E108" s="42"/>
      <c r="F108" s="42"/>
      <c r="G108" s="42"/>
      <c r="H108" s="42"/>
      <c r="I108" s="42"/>
      <c r="J108" s="63"/>
      <c r="K108" s="63"/>
      <c r="L108" s="68"/>
      <c r="M108" s="42"/>
    </row>
    <row r="109" spans="1:13" ht="19.5" thickBot="1" x14ac:dyDescent="0.35">
      <c r="A109" s="42"/>
      <c r="B109" s="42"/>
      <c r="C109" s="63"/>
      <c r="D109" s="63"/>
      <c r="E109" s="42"/>
      <c r="F109" s="42"/>
      <c r="G109" s="42"/>
      <c r="H109" s="42"/>
      <c r="I109" s="42"/>
      <c r="J109" s="188" t="s">
        <v>157</v>
      </c>
      <c r="K109" s="189">
        <v>10.685845511482254</v>
      </c>
      <c r="L109" s="189"/>
      <c r="M109" s="42"/>
    </row>
    <row r="110" spans="1:13" ht="20.25" thickTop="1" thickBot="1" x14ac:dyDescent="0.35">
      <c r="A110" s="42"/>
      <c r="B110" s="42"/>
      <c r="C110" s="63"/>
      <c r="D110" s="63"/>
      <c r="E110" s="42"/>
      <c r="F110" s="42"/>
      <c r="G110" s="42"/>
      <c r="H110" s="42"/>
      <c r="I110" s="42"/>
      <c r="J110" s="188" t="s">
        <v>145</v>
      </c>
      <c r="K110" s="189">
        <v>1.254576114983774</v>
      </c>
      <c r="L110" s="189"/>
      <c r="M110" s="42"/>
    </row>
    <row r="111" spans="1:13" ht="19.5" thickTop="1" x14ac:dyDescent="0.3">
      <c r="A111" s="42"/>
      <c r="B111" s="42"/>
      <c r="C111" s="63"/>
      <c r="D111" s="63"/>
      <c r="E111" s="42"/>
      <c r="F111" s="42"/>
      <c r="G111" s="42"/>
      <c r="H111" s="42"/>
      <c r="I111" s="42"/>
      <c r="J111" s="190" t="s">
        <v>50</v>
      </c>
      <c r="K111" s="191">
        <v>198000</v>
      </c>
      <c r="L111" s="196"/>
      <c r="M111" s="42"/>
    </row>
    <row r="112" spans="1:13" ht="18.75" x14ac:dyDescent="0.3">
      <c r="A112" s="42"/>
      <c r="B112" s="42"/>
      <c r="C112" s="63"/>
      <c r="D112" s="63"/>
      <c r="E112" s="42"/>
      <c r="F112" s="42"/>
      <c r="G112" s="42"/>
      <c r="H112" s="42"/>
      <c r="I112" s="42"/>
      <c r="J112" s="190" t="s">
        <v>51</v>
      </c>
      <c r="K112" s="191">
        <v>185889</v>
      </c>
      <c r="L112" s="196"/>
      <c r="M112" s="42"/>
    </row>
    <row r="113" spans="1:13" ht="18.75" x14ac:dyDescent="0.3">
      <c r="A113" s="42"/>
      <c r="B113" s="42"/>
      <c r="C113" s="63"/>
      <c r="D113" s="63"/>
      <c r="E113" s="42"/>
      <c r="F113" s="42"/>
      <c r="G113" s="42"/>
      <c r="H113" s="42"/>
      <c r="I113" s="42"/>
      <c r="J113" s="193" t="s">
        <v>57</v>
      </c>
      <c r="K113" s="194">
        <v>0.48422590905183532</v>
      </c>
      <c r="L113" s="197"/>
      <c r="M113" s="42"/>
    </row>
    <row r="114" spans="1:13" ht="18.75" x14ac:dyDescent="0.3">
      <c r="A114" s="42"/>
      <c r="B114" s="42"/>
      <c r="C114" s="63"/>
      <c r="D114" s="63"/>
      <c r="E114" s="42"/>
      <c r="F114" s="42"/>
      <c r="G114" s="42"/>
      <c r="H114" s="42"/>
      <c r="I114" s="42"/>
      <c r="J114" s="193" t="s">
        <v>58</v>
      </c>
      <c r="K114" s="194">
        <v>0.51577409094816473</v>
      </c>
      <c r="L114" s="197"/>
      <c r="M114" s="42"/>
    </row>
    <row r="117" spans="1:13" x14ac:dyDescent="0.25">
      <c r="A117" s="43" t="s">
        <v>306</v>
      </c>
    </row>
    <row r="118" spans="1:13" x14ac:dyDescent="0.25">
      <c r="A118" s="199" t="s">
        <v>301</v>
      </c>
      <c r="B118" s="200" t="s">
        <v>215</v>
      </c>
      <c r="C118" s="200" t="s">
        <v>21</v>
      </c>
      <c r="D118" s="201"/>
      <c r="E118" s="199" t="s">
        <v>302</v>
      </c>
      <c r="F118" s="200" t="s">
        <v>215</v>
      </c>
      <c r="G118" s="200" t="s">
        <v>21</v>
      </c>
      <c r="H118" s="200" t="s">
        <v>21</v>
      </c>
      <c r="I118" s="202"/>
      <c r="J118" s="199" t="s">
        <v>303</v>
      </c>
      <c r="K118" s="200" t="s">
        <v>20</v>
      </c>
      <c r="L118" s="203" t="s">
        <v>21</v>
      </c>
      <c r="M118" s="200" t="s">
        <v>21</v>
      </c>
    </row>
    <row r="119" spans="1:13" x14ac:dyDescent="0.25">
      <c r="A119" s="42"/>
      <c r="B119" s="99"/>
      <c r="C119" s="63"/>
      <c r="D119" s="63"/>
      <c r="E119" s="4"/>
      <c r="F119" s="4"/>
      <c r="G119" s="4"/>
      <c r="H119" s="69"/>
      <c r="I119" s="42"/>
      <c r="J119" s="4"/>
      <c r="K119" s="4"/>
      <c r="L119" s="145"/>
      <c r="M119" s="69"/>
    </row>
    <row r="120" spans="1:13" x14ac:dyDescent="0.25">
      <c r="A120" s="8" t="s">
        <v>45</v>
      </c>
      <c r="B120" s="100"/>
      <c r="C120" s="9"/>
      <c r="D120" s="63"/>
      <c r="E120" s="8" t="s">
        <v>263</v>
      </c>
      <c r="F120" s="4"/>
      <c r="G120" s="145"/>
      <c r="H120" s="69"/>
      <c r="I120" s="42"/>
      <c r="J120" s="8" t="s">
        <v>269</v>
      </c>
      <c r="K120" s="4"/>
      <c r="L120" s="145"/>
      <c r="M120" s="69"/>
    </row>
    <row r="121" spans="1:13" x14ac:dyDescent="0.25">
      <c r="A121" s="1" t="s">
        <v>256</v>
      </c>
      <c r="B121" s="102">
        <v>9180</v>
      </c>
      <c r="C121" s="68">
        <v>0</v>
      </c>
      <c r="D121" s="63"/>
      <c r="E121" s="4" t="s">
        <v>216</v>
      </c>
      <c r="F121" s="198">
        <v>36000</v>
      </c>
      <c r="G121" s="145">
        <v>0</v>
      </c>
      <c r="H121" s="69"/>
      <c r="I121" s="42"/>
      <c r="J121" s="4" t="s">
        <v>189</v>
      </c>
      <c r="K121" s="198">
        <v>36000</v>
      </c>
      <c r="L121" s="145">
        <v>0</v>
      </c>
      <c r="M121" s="69"/>
    </row>
    <row r="122" spans="1:13" ht="15.75" thickBot="1" x14ac:dyDescent="0.3">
      <c r="A122" s="42"/>
      <c r="B122" s="146">
        <v>9180</v>
      </c>
      <c r="C122" s="147">
        <v>0</v>
      </c>
      <c r="D122" s="63"/>
      <c r="E122" s="4" t="s">
        <v>190</v>
      </c>
      <c r="F122" s="98">
        <v>9180</v>
      </c>
      <c r="G122" s="145">
        <v>0</v>
      </c>
      <c r="H122" s="69"/>
      <c r="I122" s="42"/>
      <c r="J122" s="4" t="s">
        <v>190</v>
      </c>
      <c r="K122" s="98">
        <v>9180</v>
      </c>
      <c r="L122" s="145">
        <v>0</v>
      </c>
      <c r="M122" s="69"/>
    </row>
    <row r="123" spans="1:13" ht="16.5" thickTop="1" thickBot="1" x14ac:dyDescent="0.3">
      <c r="A123" s="8" t="s">
        <v>146</v>
      </c>
      <c r="B123" s="101"/>
      <c r="C123" s="10"/>
      <c r="D123" s="63"/>
      <c r="E123" s="4"/>
      <c r="F123" s="146">
        <v>45180</v>
      </c>
      <c r="G123" s="147">
        <v>0</v>
      </c>
      <c r="H123" s="69"/>
      <c r="I123" s="42"/>
      <c r="J123" s="4"/>
      <c r="K123" s="146">
        <v>45180</v>
      </c>
      <c r="L123" s="147">
        <v>0</v>
      </c>
      <c r="M123" s="69"/>
    </row>
    <row r="124" spans="1:13" ht="15.75" thickTop="1" x14ac:dyDescent="0.25">
      <c r="A124" s="42" t="s">
        <v>149</v>
      </c>
      <c r="B124" s="102">
        <v>2070</v>
      </c>
      <c r="C124" s="68">
        <v>2</v>
      </c>
      <c r="D124" s="63"/>
      <c r="E124" s="8" t="s">
        <v>151</v>
      </c>
      <c r="F124" s="98"/>
      <c r="G124" s="145"/>
      <c r="H124" s="69"/>
      <c r="I124" s="42"/>
      <c r="J124" s="8" t="s">
        <v>151</v>
      </c>
      <c r="K124" s="98"/>
      <c r="L124" s="145"/>
      <c r="M124" s="69"/>
    </row>
    <row r="125" spans="1:13" x14ac:dyDescent="0.25">
      <c r="A125" s="42" t="s">
        <v>261</v>
      </c>
      <c r="B125" s="102">
        <v>1883.9999999999998</v>
      </c>
      <c r="C125" s="68">
        <v>5</v>
      </c>
      <c r="D125" s="63"/>
      <c r="E125" s="42" t="s">
        <v>150</v>
      </c>
      <c r="F125" s="98">
        <v>2070</v>
      </c>
      <c r="G125" s="145">
        <v>2</v>
      </c>
      <c r="H125" s="69"/>
      <c r="I125" s="42"/>
      <c r="J125" s="42" t="s">
        <v>270</v>
      </c>
      <c r="K125" s="98">
        <v>5130</v>
      </c>
      <c r="L125" s="145">
        <v>3</v>
      </c>
      <c r="M125" s="69"/>
    </row>
    <row r="126" spans="1:13" ht="15.75" thickBot="1" x14ac:dyDescent="0.3">
      <c r="A126" s="42"/>
      <c r="B126" s="146">
        <v>3954</v>
      </c>
      <c r="C126" s="147">
        <v>7</v>
      </c>
      <c r="D126" s="63"/>
      <c r="E126" s="42" t="s">
        <v>155</v>
      </c>
      <c r="F126" s="98">
        <v>2063.9999999999995</v>
      </c>
      <c r="G126" s="145">
        <v>5</v>
      </c>
      <c r="H126" s="69"/>
      <c r="I126" s="42"/>
      <c r="J126" s="42" t="s">
        <v>271</v>
      </c>
      <c r="K126" s="98">
        <v>5955</v>
      </c>
      <c r="L126" s="145">
        <v>2.5</v>
      </c>
      <c r="M126" s="69"/>
    </row>
    <row r="127" spans="1:13" ht="16.5" thickTop="1" thickBot="1" x14ac:dyDescent="0.3">
      <c r="A127" s="8" t="s">
        <v>257</v>
      </c>
      <c r="B127" s="101"/>
      <c r="C127" s="10"/>
      <c r="D127" s="63"/>
      <c r="E127" s="70"/>
      <c r="F127" s="146">
        <v>4134</v>
      </c>
      <c r="G127" s="147">
        <v>7</v>
      </c>
      <c r="H127" s="69"/>
      <c r="I127" s="42"/>
      <c r="J127" s="70"/>
      <c r="K127" s="146">
        <v>11085</v>
      </c>
      <c r="L127" s="147">
        <v>5.5</v>
      </c>
      <c r="M127" s="69"/>
    </row>
    <row r="128" spans="1:13" ht="15.75" thickTop="1" x14ac:dyDescent="0.25">
      <c r="A128" s="42" t="s">
        <v>258</v>
      </c>
      <c r="B128" s="102">
        <v>360</v>
      </c>
      <c r="C128" s="68">
        <v>0.5</v>
      </c>
      <c r="D128" s="63"/>
      <c r="E128" s="8" t="s">
        <v>278</v>
      </c>
      <c r="F128" s="98"/>
      <c r="G128" s="145"/>
      <c r="H128" s="69"/>
      <c r="I128" s="42"/>
      <c r="J128" s="8" t="s">
        <v>278</v>
      </c>
      <c r="K128" s="98"/>
      <c r="L128" s="145"/>
      <c r="M128" s="69"/>
    </row>
    <row r="129" spans="1:13" x14ac:dyDescent="0.25">
      <c r="A129" s="42" t="s">
        <v>259</v>
      </c>
      <c r="B129" s="102">
        <v>4076.9999999999995</v>
      </c>
      <c r="C129" s="68">
        <v>0.5</v>
      </c>
      <c r="D129" s="63"/>
      <c r="E129" s="42" t="s">
        <v>144</v>
      </c>
      <c r="F129" s="98">
        <v>180</v>
      </c>
      <c r="G129" s="145">
        <v>0.5</v>
      </c>
      <c r="H129" s="69"/>
      <c r="I129" s="42"/>
      <c r="J129" s="42" t="s">
        <v>144</v>
      </c>
      <c r="K129" s="98">
        <v>180</v>
      </c>
      <c r="L129" s="145">
        <v>0.2</v>
      </c>
      <c r="M129" s="69"/>
    </row>
    <row r="130" spans="1:13" x14ac:dyDescent="0.25">
      <c r="A130" s="42" t="s">
        <v>44</v>
      </c>
      <c r="B130" s="102">
        <v>14040</v>
      </c>
      <c r="C130" s="68">
        <v>5</v>
      </c>
      <c r="D130" s="63"/>
      <c r="E130" s="42" t="s">
        <v>142</v>
      </c>
      <c r="F130" s="198">
        <v>24000</v>
      </c>
      <c r="G130" s="145">
        <v>0.5</v>
      </c>
      <c r="H130" s="69"/>
      <c r="I130" s="42"/>
      <c r="J130" s="42" t="s">
        <v>142</v>
      </c>
      <c r="K130" s="198">
        <v>24000</v>
      </c>
      <c r="L130" s="145">
        <v>0.3</v>
      </c>
      <c r="M130" s="69"/>
    </row>
    <row r="131" spans="1:13" ht="15.75" thickBot="1" x14ac:dyDescent="0.3">
      <c r="A131" s="42"/>
      <c r="B131" s="146">
        <v>18477</v>
      </c>
      <c r="C131" s="147">
        <v>6</v>
      </c>
      <c r="D131" s="63"/>
      <c r="E131" s="42" t="s">
        <v>264</v>
      </c>
      <c r="F131" s="98">
        <v>960</v>
      </c>
      <c r="G131" s="145">
        <v>0.5</v>
      </c>
      <c r="H131" s="69"/>
      <c r="I131" s="42"/>
      <c r="J131" s="42" t="s">
        <v>272</v>
      </c>
      <c r="K131" s="98">
        <v>960</v>
      </c>
      <c r="L131" s="145">
        <v>0.2</v>
      </c>
      <c r="M131" s="69"/>
    </row>
    <row r="132" spans="1:13" ht="15.75" thickTop="1" x14ac:dyDescent="0.25">
      <c r="A132" s="8" t="s">
        <v>148</v>
      </c>
      <c r="B132" s="101"/>
      <c r="C132" s="10"/>
      <c r="D132" s="63"/>
      <c r="E132" s="4" t="s">
        <v>143</v>
      </c>
      <c r="F132" s="98">
        <v>75</v>
      </c>
      <c r="G132" s="145">
        <v>0.5</v>
      </c>
      <c r="H132" s="42"/>
      <c r="I132" s="42"/>
      <c r="J132" s="4" t="s">
        <v>274</v>
      </c>
      <c r="K132" s="98">
        <v>75</v>
      </c>
      <c r="L132" s="145">
        <v>0.3</v>
      </c>
      <c r="M132" s="42"/>
    </row>
    <row r="133" spans="1:13" x14ac:dyDescent="0.25">
      <c r="A133" s="42" t="s">
        <v>260</v>
      </c>
      <c r="B133" s="102">
        <v>2070</v>
      </c>
      <c r="C133" s="68">
        <v>2</v>
      </c>
      <c r="D133" s="63"/>
      <c r="E133" s="42" t="s">
        <v>265</v>
      </c>
      <c r="F133" s="98">
        <v>2063.9999999999995</v>
      </c>
      <c r="G133" s="145">
        <v>5</v>
      </c>
      <c r="H133" s="69"/>
      <c r="I133" s="42"/>
      <c r="J133" s="42" t="s">
        <v>276</v>
      </c>
      <c r="K133" s="98">
        <v>3510</v>
      </c>
      <c r="L133" s="148">
        <v>1</v>
      </c>
      <c r="M133" s="42"/>
    </row>
    <row r="134" spans="1:13" ht="15.75" thickBot="1" x14ac:dyDescent="0.3">
      <c r="A134" s="42" t="s">
        <v>261</v>
      </c>
      <c r="B134" s="102">
        <v>1883.9999999999998</v>
      </c>
      <c r="C134" s="68">
        <v>5</v>
      </c>
      <c r="D134" s="63"/>
      <c r="E134" s="42"/>
      <c r="F134" s="146">
        <v>27279</v>
      </c>
      <c r="G134" s="147">
        <v>7</v>
      </c>
      <c r="H134" s="42"/>
      <c r="I134" s="42"/>
      <c r="J134" s="42" t="s">
        <v>277</v>
      </c>
      <c r="K134" s="98">
        <v>5955</v>
      </c>
      <c r="L134" s="145">
        <v>2.5</v>
      </c>
      <c r="M134" s="69"/>
    </row>
    <row r="135" spans="1:13" ht="16.5" thickTop="1" thickBot="1" x14ac:dyDescent="0.3">
      <c r="A135" s="42"/>
      <c r="B135" s="146">
        <v>3954</v>
      </c>
      <c r="C135" s="147">
        <v>7</v>
      </c>
      <c r="D135" s="63"/>
      <c r="E135" s="65" t="s">
        <v>267</v>
      </c>
      <c r="F135" s="98"/>
      <c r="G135" s="145"/>
      <c r="H135" s="69"/>
      <c r="I135" s="42"/>
      <c r="J135" s="42"/>
      <c r="K135" s="146">
        <v>34680</v>
      </c>
      <c r="L135" s="147">
        <v>4.5</v>
      </c>
      <c r="M135" s="42"/>
    </row>
    <row r="136" spans="1:13" ht="15.75" thickTop="1" x14ac:dyDescent="0.25">
      <c r="A136" s="8" t="s">
        <v>262</v>
      </c>
      <c r="B136" s="102"/>
      <c r="C136" s="68"/>
      <c r="D136" s="63"/>
      <c r="E136" s="67" t="s">
        <v>266</v>
      </c>
      <c r="F136" s="98">
        <v>13500</v>
      </c>
      <c r="G136" s="145"/>
      <c r="H136" s="71">
        <v>0.5</v>
      </c>
      <c r="I136" s="42"/>
      <c r="J136" s="65" t="s">
        <v>22</v>
      </c>
      <c r="K136" s="98"/>
      <c r="L136" s="145"/>
      <c r="M136" s="69"/>
    </row>
    <row r="137" spans="1:13" x14ac:dyDescent="0.25">
      <c r="A137" s="42" t="s">
        <v>147</v>
      </c>
      <c r="B137" s="102">
        <v>360</v>
      </c>
      <c r="C137" s="68">
        <v>0.5</v>
      </c>
      <c r="D137" s="63"/>
      <c r="E137" s="67" t="s">
        <v>46</v>
      </c>
      <c r="F137" s="98">
        <v>48923.999999999993</v>
      </c>
      <c r="G137" s="145"/>
      <c r="H137" s="71">
        <v>0.33333333333333331</v>
      </c>
      <c r="I137" s="42"/>
      <c r="J137" s="67" t="s">
        <v>252</v>
      </c>
      <c r="K137" s="98">
        <v>13500</v>
      </c>
      <c r="L137" s="145"/>
      <c r="M137" s="71">
        <v>0.5</v>
      </c>
    </row>
    <row r="138" spans="1:13" x14ac:dyDescent="0.25">
      <c r="A138" s="42" t="s">
        <v>259</v>
      </c>
      <c r="B138" s="102">
        <v>0</v>
      </c>
      <c r="C138" s="68">
        <v>0</v>
      </c>
      <c r="D138" s="63"/>
      <c r="E138" s="67" t="s">
        <v>47</v>
      </c>
      <c r="F138" s="98">
        <v>60480</v>
      </c>
      <c r="G138" s="145"/>
      <c r="H138" s="71">
        <v>8.6999999999999993</v>
      </c>
      <c r="I138" s="42"/>
      <c r="J138" s="67" t="s">
        <v>46</v>
      </c>
      <c r="K138" s="98">
        <v>48923.999999999993</v>
      </c>
      <c r="L138" s="145"/>
      <c r="M138" s="71">
        <v>0.33333333333333331</v>
      </c>
    </row>
    <row r="139" spans="1:13" ht="15.75" thickBot="1" x14ac:dyDescent="0.3">
      <c r="A139" s="42" t="s">
        <v>44</v>
      </c>
      <c r="B139" s="102">
        <v>0</v>
      </c>
      <c r="C139" s="68">
        <v>0</v>
      </c>
      <c r="D139" s="63"/>
      <c r="E139" s="67"/>
      <c r="F139" s="146">
        <v>122904</v>
      </c>
      <c r="G139" s="42"/>
      <c r="H139" s="147">
        <v>9.5333333333333332</v>
      </c>
      <c r="I139" s="42"/>
      <c r="J139" s="67" t="s">
        <v>47</v>
      </c>
      <c r="K139" s="98">
        <v>60480</v>
      </c>
      <c r="L139" s="145"/>
      <c r="M139" s="71">
        <v>8.6999999999999993</v>
      </c>
    </row>
    <row r="140" spans="1:13" ht="16.5" thickTop="1" thickBot="1" x14ac:dyDescent="0.3">
      <c r="A140" s="42"/>
      <c r="B140" s="146">
        <v>360</v>
      </c>
      <c r="C140" s="147">
        <v>0.5</v>
      </c>
      <c r="D140" s="63"/>
      <c r="E140" s="8" t="s">
        <v>279</v>
      </c>
      <c r="F140" s="98"/>
      <c r="G140" s="145"/>
      <c r="H140" s="70"/>
      <c r="I140" s="42"/>
      <c r="J140" s="67"/>
      <c r="K140" s="146">
        <v>122904</v>
      </c>
      <c r="L140" s="148"/>
      <c r="M140" s="147">
        <v>9.5333333333333332</v>
      </c>
    </row>
    <row r="141" spans="1:13" ht="16.5" thickTop="1" thickBot="1" x14ac:dyDescent="0.3">
      <c r="A141" s="66" t="s">
        <v>214</v>
      </c>
      <c r="B141" s="149">
        <v>35925</v>
      </c>
      <c r="C141" s="151">
        <v>20.5</v>
      </c>
      <c r="D141" s="63"/>
      <c r="E141" s="42" t="s">
        <v>144</v>
      </c>
      <c r="F141" s="98">
        <v>180</v>
      </c>
      <c r="G141" s="145">
        <v>0.5</v>
      </c>
      <c r="H141" s="69"/>
      <c r="I141" s="42"/>
      <c r="J141" s="8" t="s">
        <v>279</v>
      </c>
      <c r="K141" s="98"/>
      <c r="L141" s="145"/>
      <c r="M141" s="70"/>
    </row>
    <row r="142" spans="1:13" ht="15.75" thickTop="1" x14ac:dyDescent="0.25">
      <c r="A142" s="42"/>
      <c r="B142" s="42"/>
      <c r="C142" s="63"/>
      <c r="D142" s="63"/>
      <c r="E142" s="42" t="s">
        <v>142</v>
      </c>
      <c r="F142" s="198">
        <v>24000</v>
      </c>
      <c r="G142" s="145">
        <v>0.5</v>
      </c>
      <c r="H142" s="69"/>
      <c r="I142" s="42"/>
      <c r="J142" s="42" t="s">
        <v>144</v>
      </c>
      <c r="K142" s="98">
        <v>180</v>
      </c>
      <c r="L142" s="145">
        <v>0.2</v>
      </c>
      <c r="M142" s="69"/>
    </row>
    <row r="143" spans="1:13" x14ac:dyDescent="0.25">
      <c r="A143" s="42"/>
      <c r="B143" s="42"/>
      <c r="C143" s="63"/>
      <c r="D143" s="63"/>
      <c r="E143" s="42" t="s">
        <v>273</v>
      </c>
      <c r="F143" s="98">
        <v>960</v>
      </c>
      <c r="G143" s="145">
        <v>0.5</v>
      </c>
      <c r="H143" s="69"/>
      <c r="I143" s="42"/>
      <c r="J143" s="42" t="s">
        <v>142</v>
      </c>
      <c r="K143" s="198">
        <v>24000</v>
      </c>
      <c r="L143" s="145">
        <v>0.3</v>
      </c>
      <c r="M143" s="69"/>
    </row>
    <row r="144" spans="1:13" x14ac:dyDescent="0.25">
      <c r="A144" s="42"/>
      <c r="B144" s="42"/>
      <c r="C144" s="63"/>
      <c r="D144" s="63"/>
      <c r="E144" s="4" t="s">
        <v>143</v>
      </c>
      <c r="F144" s="98">
        <v>75</v>
      </c>
      <c r="G144" s="145">
        <v>0.5</v>
      </c>
      <c r="H144" s="69"/>
      <c r="I144" s="42"/>
      <c r="J144" s="42" t="s">
        <v>281</v>
      </c>
      <c r="K144" s="98">
        <v>960</v>
      </c>
      <c r="L144" s="145">
        <v>0.2</v>
      </c>
      <c r="M144" s="69"/>
    </row>
    <row r="145" spans="1:13" x14ac:dyDescent="0.25">
      <c r="A145" s="42"/>
      <c r="B145" s="42"/>
      <c r="C145" s="63"/>
      <c r="D145" s="63"/>
      <c r="E145" s="42" t="s">
        <v>265</v>
      </c>
      <c r="F145" s="98">
        <v>2063.9999999999995</v>
      </c>
      <c r="G145" s="145">
        <v>5</v>
      </c>
      <c r="H145" s="69"/>
      <c r="I145" s="42"/>
      <c r="J145" s="4" t="s">
        <v>274</v>
      </c>
      <c r="K145" s="98">
        <v>75</v>
      </c>
      <c r="L145" s="145">
        <v>0.3</v>
      </c>
      <c r="M145" s="69"/>
    </row>
    <row r="146" spans="1:13" ht="15.75" thickBot="1" x14ac:dyDescent="0.3">
      <c r="A146" s="42"/>
      <c r="B146" s="42"/>
      <c r="C146" s="63"/>
      <c r="D146" s="63"/>
      <c r="E146" s="8"/>
      <c r="F146" s="146">
        <v>27279</v>
      </c>
      <c r="G146" s="147">
        <v>7</v>
      </c>
      <c r="H146" s="69"/>
      <c r="I146" s="42"/>
      <c r="J146" s="42" t="s">
        <v>276</v>
      </c>
      <c r="K146" s="98">
        <v>3510</v>
      </c>
      <c r="L146" s="148">
        <v>1</v>
      </c>
      <c r="M146" s="69"/>
    </row>
    <row r="147" spans="1:13" ht="15.75" thickTop="1" x14ac:dyDescent="0.25">
      <c r="A147" s="42"/>
      <c r="B147" s="42"/>
      <c r="C147" s="63"/>
      <c r="D147" s="63"/>
      <c r="E147" s="8" t="s">
        <v>280</v>
      </c>
      <c r="F147" s="98"/>
      <c r="G147" s="145"/>
      <c r="H147" s="69"/>
      <c r="I147" s="42"/>
      <c r="J147" s="42" t="s">
        <v>277</v>
      </c>
      <c r="K147" s="98">
        <v>5955</v>
      </c>
      <c r="L147" s="145">
        <v>2.5</v>
      </c>
      <c r="M147" s="69"/>
    </row>
    <row r="148" spans="1:13" ht="15.75" thickBot="1" x14ac:dyDescent="0.3">
      <c r="A148" s="42"/>
      <c r="B148" s="42"/>
      <c r="C148" s="63"/>
      <c r="D148" s="63"/>
      <c r="E148" s="42" t="s">
        <v>144</v>
      </c>
      <c r="F148" s="98">
        <v>180</v>
      </c>
      <c r="G148" s="145">
        <v>0.5</v>
      </c>
      <c r="H148" s="69"/>
      <c r="I148" s="42"/>
      <c r="J148" s="8"/>
      <c r="K148" s="146">
        <v>34680</v>
      </c>
      <c r="L148" s="147">
        <v>4.5</v>
      </c>
      <c r="M148" s="69"/>
    </row>
    <row r="149" spans="1:13" ht="15.75" thickTop="1" x14ac:dyDescent="0.25">
      <c r="A149" s="42"/>
      <c r="B149" s="42"/>
      <c r="C149" s="63"/>
      <c r="D149" s="63"/>
      <c r="E149" s="42" t="s">
        <v>268</v>
      </c>
      <c r="F149" s="198">
        <v>24000</v>
      </c>
      <c r="G149" s="145">
        <v>0.5</v>
      </c>
      <c r="H149" s="69"/>
      <c r="I149" s="42"/>
      <c r="J149" s="8" t="s">
        <v>280</v>
      </c>
      <c r="K149" s="98"/>
      <c r="L149" s="145"/>
      <c r="M149" s="69"/>
    </row>
    <row r="150" spans="1:13" x14ac:dyDescent="0.25">
      <c r="A150" s="42"/>
      <c r="B150" s="42"/>
      <c r="C150" s="63"/>
      <c r="D150" s="63"/>
      <c r="E150" s="42" t="s">
        <v>273</v>
      </c>
      <c r="F150" s="98">
        <v>960</v>
      </c>
      <c r="G150" s="145">
        <v>0.5</v>
      </c>
      <c r="H150" s="69"/>
      <c r="I150" s="42"/>
      <c r="J150" s="42" t="s">
        <v>144</v>
      </c>
      <c r="K150" s="98">
        <v>180</v>
      </c>
      <c r="L150" s="145">
        <v>0.2</v>
      </c>
      <c r="M150" s="69"/>
    </row>
    <row r="151" spans="1:13" x14ac:dyDescent="0.25">
      <c r="A151" s="42">
        <v>36</v>
      </c>
      <c r="B151" s="42"/>
      <c r="C151" s="63"/>
      <c r="D151" s="63"/>
      <c r="E151" s="4" t="s">
        <v>143</v>
      </c>
      <c r="F151" s="98">
        <v>75</v>
      </c>
      <c r="G151" s="145">
        <v>0.5</v>
      </c>
      <c r="H151" s="69"/>
      <c r="I151" s="42"/>
      <c r="J151" s="42" t="s">
        <v>142</v>
      </c>
      <c r="K151" s="198">
        <v>24000</v>
      </c>
      <c r="L151" s="145">
        <v>0.3</v>
      </c>
      <c r="M151" s="69"/>
    </row>
    <row r="152" spans="1:13" ht="15.75" thickBot="1" x14ac:dyDescent="0.3">
      <c r="A152" s="42">
        <v>24</v>
      </c>
      <c r="B152" s="42"/>
      <c r="C152" s="63"/>
      <c r="D152" s="63"/>
      <c r="E152" s="1"/>
      <c r="F152" s="146">
        <v>25215</v>
      </c>
      <c r="G152" s="147">
        <v>2</v>
      </c>
      <c r="H152" s="69"/>
      <c r="I152" s="42"/>
      <c r="J152" s="42" t="s">
        <v>281</v>
      </c>
      <c r="K152" s="98">
        <v>960</v>
      </c>
      <c r="L152" s="145">
        <v>0.2</v>
      </c>
      <c r="M152" s="69"/>
    </row>
    <row r="153" spans="1:13" ht="16.5" thickTop="1" thickBot="1" x14ac:dyDescent="0.3">
      <c r="A153" s="42"/>
      <c r="B153" s="42"/>
      <c r="C153" s="63"/>
      <c r="D153" s="63"/>
      <c r="E153" s="66" t="s">
        <v>48</v>
      </c>
      <c r="F153" s="149">
        <v>251991</v>
      </c>
      <c r="G153" s="150">
        <v>23</v>
      </c>
      <c r="H153" s="69"/>
      <c r="I153" s="42"/>
      <c r="J153" s="4" t="s">
        <v>274</v>
      </c>
      <c r="K153" s="98">
        <v>75</v>
      </c>
      <c r="L153" s="145">
        <v>0.3</v>
      </c>
      <c r="M153" s="69"/>
    </row>
    <row r="154" spans="1:13" ht="15.75" thickTop="1" x14ac:dyDescent="0.25">
      <c r="A154" s="42"/>
      <c r="B154" s="42"/>
      <c r="C154" s="63"/>
      <c r="D154" s="63"/>
      <c r="E154" s="63"/>
      <c r="F154" s="63"/>
      <c r="G154" s="63"/>
      <c r="H154" s="69"/>
      <c r="I154" s="42"/>
      <c r="J154" s="42" t="s">
        <v>276</v>
      </c>
      <c r="K154" s="98">
        <v>3510</v>
      </c>
      <c r="L154" s="148">
        <v>1</v>
      </c>
      <c r="M154" s="69"/>
    </row>
    <row r="155" spans="1:13" ht="19.5" thickBot="1" x14ac:dyDescent="0.35">
      <c r="A155" s="42"/>
      <c r="B155" s="42"/>
      <c r="C155" s="63"/>
      <c r="D155" s="63"/>
      <c r="E155" s="188" t="s">
        <v>60</v>
      </c>
      <c r="F155" s="189">
        <v>7.0143632567849687</v>
      </c>
      <c r="G155" s="189"/>
      <c r="H155" s="69"/>
      <c r="I155" s="42"/>
      <c r="J155" s="42" t="s">
        <v>277</v>
      </c>
      <c r="K155" s="98">
        <v>5955</v>
      </c>
      <c r="L155" s="145">
        <v>2.5</v>
      </c>
      <c r="M155" s="69"/>
    </row>
    <row r="156" spans="1:13" ht="20.25" thickTop="1" thickBot="1" x14ac:dyDescent="0.35">
      <c r="A156" s="42"/>
      <c r="B156" s="42"/>
      <c r="C156" s="63"/>
      <c r="D156" s="63"/>
      <c r="E156" s="190" t="s">
        <v>50</v>
      </c>
      <c r="F156" s="191">
        <v>108000</v>
      </c>
      <c r="G156" s="192"/>
      <c r="H156" s="69"/>
      <c r="I156" s="42"/>
      <c r="J156" s="8"/>
      <c r="K156" s="146">
        <v>34680</v>
      </c>
      <c r="L156" s="147">
        <v>4.5</v>
      </c>
      <c r="M156" s="69"/>
    </row>
    <row r="157" spans="1:13" ht="19.5" thickTop="1" x14ac:dyDescent="0.3">
      <c r="A157" s="42"/>
      <c r="B157" s="42"/>
      <c r="C157" s="63"/>
      <c r="D157" s="63"/>
      <c r="E157" s="190" t="s">
        <v>51</v>
      </c>
      <c r="F157" s="191">
        <v>143991</v>
      </c>
      <c r="G157" s="192"/>
      <c r="H157" s="63"/>
      <c r="I157" s="42"/>
      <c r="J157" s="8" t="s">
        <v>156</v>
      </c>
      <c r="K157" s="98"/>
      <c r="L157" s="145"/>
      <c r="M157" s="69"/>
    </row>
    <row r="158" spans="1:13" ht="18.75" x14ac:dyDescent="0.3">
      <c r="A158" s="42"/>
      <c r="B158" s="42"/>
      <c r="C158" s="63"/>
      <c r="D158" s="63"/>
      <c r="E158" s="193" t="s">
        <v>57</v>
      </c>
      <c r="F158" s="194">
        <v>0.57141326475945564</v>
      </c>
      <c r="G158" s="195"/>
      <c r="H158" s="63"/>
      <c r="I158" s="42"/>
      <c r="J158" s="42" t="s">
        <v>144</v>
      </c>
      <c r="K158" s="98">
        <v>180</v>
      </c>
      <c r="L158" s="145">
        <v>0.2</v>
      </c>
      <c r="M158" s="63"/>
    </row>
    <row r="159" spans="1:13" ht="18.75" x14ac:dyDescent="0.3">
      <c r="A159" s="42"/>
      <c r="B159" s="42"/>
      <c r="C159" s="63"/>
      <c r="D159" s="63"/>
      <c r="E159" s="193" t="s">
        <v>58</v>
      </c>
      <c r="F159" s="194">
        <v>0.42858673524054436</v>
      </c>
      <c r="G159" s="195"/>
      <c r="H159" s="72"/>
      <c r="I159" s="42"/>
      <c r="J159" s="42" t="s">
        <v>142</v>
      </c>
      <c r="K159" s="198">
        <v>24000</v>
      </c>
      <c r="L159" s="145">
        <v>0.3</v>
      </c>
      <c r="M159" s="63"/>
    </row>
    <row r="160" spans="1:13" ht="18.75" x14ac:dyDescent="0.3">
      <c r="A160" s="42"/>
      <c r="B160" s="42"/>
      <c r="C160" s="63"/>
      <c r="D160" s="63"/>
      <c r="E160" s="42"/>
      <c r="F160" s="42"/>
      <c r="G160" s="42"/>
      <c r="H160" s="42"/>
      <c r="I160" s="42"/>
      <c r="J160" s="42" t="s">
        <v>281</v>
      </c>
      <c r="K160" s="98">
        <v>960</v>
      </c>
      <c r="L160" s="145">
        <v>0.2</v>
      </c>
      <c r="M160" s="72"/>
    </row>
    <row r="161" spans="1:13" x14ac:dyDescent="0.25">
      <c r="A161" s="42"/>
      <c r="B161" s="42"/>
      <c r="C161" s="63"/>
      <c r="D161" s="63"/>
      <c r="E161" s="42"/>
      <c r="F161" s="42"/>
      <c r="G161" s="42"/>
      <c r="H161" s="42"/>
      <c r="I161" s="42"/>
      <c r="J161" s="4" t="s">
        <v>274</v>
      </c>
      <c r="K161" s="98">
        <v>75</v>
      </c>
      <c r="L161" s="145">
        <v>0.3</v>
      </c>
      <c r="M161" s="42"/>
    </row>
    <row r="162" spans="1:13" ht="18.75" x14ac:dyDescent="0.3">
      <c r="A162" s="72"/>
      <c r="B162" s="72"/>
      <c r="C162" s="73"/>
      <c r="D162" s="73"/>
      <c r="E162" s="42"/>
      <c r="F162" s="42"/>
      <c r="G162" s="42"/>
      <c r="H162" s="42"/>
      <c r="I162" s="72"/>
      <c r="J162" s="42" t="s">
        <v>276</v>
      </c>
      <c r="K162" s="98">
        <v>3510</v>
      </c>
      <c r="L162" s="148">
        <v>1</v>
      </c>
      <c r="M162" s="42"/>
    </row>
    <row r="163" spans="1:13" x14ac:dyDescent="0.25">
      <c r="A163" s="42"/>
      <c r="B163" s="42"/>
      <c r="C163" s="63"/>
      <c r="D163" s="63"/>
      <c r="E163" s="42"/>
      <c r="F163" s="42"/>
      <c r="G163" s="42"/>
      <c r="H163" s="42"/>
      <c r="I163" s="42"/>
      <c r="J163" s="42" t="s">
        <v>277</v>
      </c>
      <c r="K163" s="98">
        <v>5955</v>
      </c>
      <c r="L163" s="145">
        <v>2.5</v>
      </c>
      <c r="M163" s="42"/>
    </row>
    <row r="164" spans="1:13" ht="15.75" thickBot="1" x14ac:dyDescent="0.3">
      <c r="A164" s="42"/>
      <c r="B164" s="42"/>
      <c r="C164" s="63"/>
      <c r="D164" s="63"/>
      <c r="E164" s="42"/>
      <c r="F164" s="42"/>
      <c r="G164" s="42"/>
      <c r="H164" s="42"/>
      <c r="I164" s="42"/>
      <c r="J164" s="8"/>
      <c r="K164" s="146">
        <v>34680</v>
      </c>
      <c r="L164" s="147">
        <v>4.5</v>
      </c>
      <c r="M164" s="42"/>
    </row>
    <row r="165" spans="1:13" ht="16.5" thickTop="1" thickBot="1" x14ac:dyDescent="0.3">
      <c r="A165" s="42"/>
      <c r="B165" s="42"/>
      <c r="C165" s="63"/>
      <c r="D165" s="63"/>
      <c r="E165" s="42"/>
      <c r="F165" s="42"/>
      <c r="G165" s="42"/>
      <c r="H165" s="42"/>
      <c r="I165" s="42"/>
      <c r="J165" s="66" t="s">
        <v>48</v>
      </c>
      <c r="K165" s="149">
        <v>317889</v>
      </c>
      <c r="L165" s="150">
        <v>23.5</v>
      </c>
      <c r="M165" s="42"/>
    </row>
    <row r="166" spans="1:13" ht="15.75" thickTop="1" x14ac:dyDescent="0.25">
      <c r="A166" s="42"/>
      <c r="B166" s="42"/>
      <c r="C166" s="63"/>
      <c r="D166" s="63"/>
      <c r="E166" s="42"/>
      <c r="F166" s="42"/>
      <c r="G166" s="42"/>
      <c r="H166" s="42"/>
      <c r="I166" s="42"/>
      <c r="J166" s="63"/>
      <c r="K166" s="63"/>
      <c r="L166" s="68"/>
      <c r="M166" s="42"/>
    </row>
    <row r="167" spans="1:13" ht="19.5" thickBot="1" x14ac:dyDescent="0.35">
      <c r="A167" s="42"/>
      <c r="B167" s="42"/>
      <c r="C167" s="63"/>
      <c r="D167" s="63"/>
      <c r="E167" s="42"/>
      <c r="F167" s="42"/>
      <c r="G167" s="42"/>
      <c r="H167" s="42"/>
      <c r="I167" s="42"/>
      <c r="J167" s="188" t="s">
        <v>157</v>
      </c>
      <c r="K167" s="189">
        <v>8.8486847599164928</v>
      </c>
      <c r="L167" s="189"/>
      <c r="M167" s="42"/>
    </row>
    <row r="168" spans="1:13" ht="20.25" thickTop="1" thickBot="1" x14ac:dyDescent="0.35">
      <c r="A168" s="42"/>
      <c r="B168" s="42"/>
      <c r="C168" s="63"/>
      <c r="D168" s="63"/>
      <c r="E168" s="42"/>
      <c r="F168" s="42"/>
      <c r="G168" s="42"/>
      <c r="H168" s="42"/>
      <c r="I168" s="42"/>
      <c r="J168" s="188" t="s">
        <v>145</v>
      </c>
      <c r="K168" s="189">
        <v>1.261509339619272</v>
      </c>
      <c r="L168" s="189"/>
      <c r="M168" s="42"/>
    </row>
    <row r="169" spans="1:13" ht="19.5" thickTop="1" x14ac:dyDescent="0.3">
      <c r="A169" s="42"/>
      <c r="B169" s="42"/>
      <c r="C169" s="63"/>
      <c r="D169" s="63"/>
      <c r="E169" s="42"/>
      <c r="F169" s="42"/>
      <c r="G169" s="42"/>
      <c r="H169" s="42"/>
      <c r="I169" s="42"/>
      <c r="J169" s="190" t="s">
        <v>50</v>
      </c>
      <c r="K169" s="191">
        <v>132000</v>
      </c>
      <c r="L169" s="196"/>
      <c r="M169" s="42"/>
    </row>
    <row r="170" spans="1:13" ht="18.75" x14ac:dyDescent="0.3">
      <c r="A170" s="42"/>
      <c r="B170" s="42"/>
      <c r="C170" s="63"/>
      <c r="D170" s="63"/>
      <c r="E170" s="42"/>
      <c r="F170" s="42"/>
      <c r="G170" s="42"/>
      <c r="H170" s="42"/>
      <c r="I170" s="42"/>
      <c r="J170" s="190" t="s">
        <v>51</v>
      </c>
      <c r="K170" s="191">
        <v>185889</v>
      </c>
      <c r="L170" s="196"/>
      <c r="M170" s="42"/>
    </row>
    <row r="171" spans="1:13" ht="18.75" x14ac:dyDescent="0.3">
      <c r="A171" s="42"/>
      <c r="B171" s="42"/>
      <c r="C171" s="63"/>
      <c r="D171" s="63"/>
      <c r="E171" s="42"/>
      <c r="F171" s="42"/>
      <c r="G171" s="42"/>
      <c r="H171" s="42"/>
      <c r="I171" s="42"/>
      <c r="J171" s="193" t="s">
        <v>57</v>
      </c>
      <c r="K171" s="194">
        <v>0.58476071836395727</v>
      </c>
      <c r="L171" s="197"/>
      <c r="M171" s="42"/>
    </row>
    <row r="172" spans="1:13" ht="18.75" x14ac:dyDescent="0.3">
      <c r="A172" s="42"/>
      <c r="B172" s="42"/>
      <c r="C172" s="63"/>
      <c r="D172" s="63"/>
      <c r="E172" s="42"/>
      <c r="F172" s="42"/>
      <c r="G172" s="42"/>
      <c r="H172" s="42"/>
      <c r="I172" s="42"/>
      <c r="J172" s="193" t="s">
        <v>58</v>
      </c>
      <c r="K172" s="194">
        <v>0.41523928163604273</v>
      </c>
      <c r="L172" s="197"/>
      <c r="M172" s="42"/>
    </row>
    <row r="173" spans="1:13" x14ac:dyDescent="0.25">
      <c r="A173" s="42"/>
      <c r="B173" s="42"/>
      <c r="C173" s="63"/>
      <c r="D173" s="63"/>
      <c r="E173" s="42"/>
      <c r="F173" s="42"/>
      <c r="G173" s="42"/>
      <c r="H173" s="42"/>
      <c r="I173" s="42"/>
      <c r="J173" s="42"/>
      <c r="K173" s="42"/>
      <c r="L173" s="148"/>
      <c r="M173" s="42"/>
    </row>
    <row r="175" spans="1:13" x14ac:dyDescent="0.25">
      <c r="A175" s="43" t="s">
        <v>307</v>
      </c>
    </row>
    <row r="176" spans="1:13" x14ac:dyDescent="0.25">
      <c r="A176" s="199" t="s">
        <v>301</v>
      </c>
      <c r="B176" s="200" t="s">
        <v>215</v>
      </c>
      <c r="C176" s="200" t="s">
        <v>21</v>
      </c>
      <c r="D176" s="201"/>
      <c r="E176" s="199" t="s">
        <v>302</v>
      </c>
      <c r="F176" s="200" t="s">
        <v>215</v>
      </c>
      <c r="G176" s="200" t="s">
        <v>21</v>
      </c>
      <c r="H176" s="200" t="s">
        <v>21</v>
      </c>
      <c r="I176" s="202"/>
      <c r="J176" s="199" t="s">
        <v>303</v>
      </c>
      <c r="K176" s="200" t="s">
        <v>20</v>
      </c>
      <c r="L176" s="203" t="s">
        <v>21</v>
      </c>
      <c r="M176" s="200" t="s">
        <v>21</v>
      </c>
    </row>
    <row r="177" spans="1:13" x14ac:dyDescent="0.25">
      <c r="A177" s="42"/>
      <c r="B177" s="99"/>
      <c r="C177" s="63"/>
      <c r="D177" s="63"/>
      <c r="E177" s="4"/>
      <c r="F177" s="4"/>
      <c r="G177" s="4"/>
      <c r="H177" s="69"/>
      <c r="I177" s="42"/>
      <c r="J177" s="4"/>
      <c r="K177" s="4"/>
      <c r="L177" s="145"/>
      <c r="M177" s="69"/>
    </row>
    <row r="178" spans="1:13" x14ac:dyDescent="0.25">
      <c r="A178" s="8" t="s">
        <v>45</v>
      </c>
      <c r="B178" s="100"/>
      <c r="C178" s="9"/>
      <c r="D178" s="63"/>
      <c r="E178" s="8" t="s">
        <v>263</v>
      </c>
      <c r="F178" s="4"/>
      <c r="G178" s="145"/>
      <c r="H178" s="69"/>
      <c r="I178" s="42"/>
      <c r="J178" s="8" t="s">
        <v>269</v>
      </c>
      <c r="K178" s="4"/>
      <c r="L178" s="145"/>
      <c r="M178" s="69"/>
    </row>
    <row r="179" spans="1:13" x14ac:dyDescent="0.25">
      <c r="A179" s="1" t="s">
        <v>256</v>
      </c>
      <c r="B179" s="102">
        <v>9180</v>
      </c>
      <c r="C179" s="68">
        <v>0</v>
      </c>
      <c r="D179" s="63"/>
      <c r="E179" s="4" t="s">
        <v>216</v>
      </c>
      <c r="F179" s="198">
        <v>18000</v>
      </c>
      <c r="G179" s="145">
        <v>0</v>
      </c>
      <c r="H179" s="69"/>
      <c r="I179" s="42"/>
      <c r="J179" s="4" t="s">
        <v>189</v>
      </c>
      <c r="K179" s="198">
        <v>18000</v>
      </c>
      <c r="L179" s="145">
        <v>0</v>
      </c>
      <c r="M179" s="69"/>
    </row>
    <row r="180" spans="1:13" ht="15.75" thickBot="1" x14ac:dyDescent="0.3">
      <c r="A180" s="42"/>
      <c r="B180" s="146">
        <v>9180</v>
      </c>
      <c r="C180" s="147">
        <v>0</v>
      </c>
      <c r="D180" s="63"/>
      <c r="E180" s="4" t="s">
        <v>190</v>
      </c>
      <c r="F180" s="98">
        <v>9180</v>
      </c>
      <c r="G180" s="145">
        <v>0</v>
      </c>
      <c r="H180" s="69"/>
      <c r="I180" s="42"/>
      <c r="J180" s="4" t="s">
        <v>190</v>
      </c>
      <c r="K180" s="98">
        <v>9180</v>
      </c>
      <c r="L180" s="145">
        <v>0</v>
      </c>
      <c r="M180" s="69"/>
    </row>
    <row r="181" spans="1:13" ht="16.5" thickTop="1" thickBot="1" x14ac:dyDescent="0.3">
      <c r="A181" s="8" t="s">
        <v>146</v>
      </c>
      <c r="B181" s="101"/>
      <c r="C181" s="10"/>
      <c r="D181" s="63"/>
      <c r="E181" s="4"/>
      <c r="F181" s="146">
        <v>27180</v>
      </c>
      <c r="G181" s="147">
        <v>0</v>
      </c>
      <c r="H181" s="69"/>
      <c r="I181" s="42"/>
      <c r="J181" s="4"/>
      <c r="K181" s="146">
        <v>27180</v>
      </c>
      <c r="L181" s="147">
        <v>0</v>
      </c>
      <c r="M181" s="69"/>
    </row>
    <row r="182" spans="1:13" ht="15.75" thickTop="1" x14ac:dyDescent="0.25">
      <c r="A182" s="42" t="s">
        <v>149</v>
      </c>
      <c r="B182" s="102">
        <v>2070</v>
      </c>
      <c r="C182" s="68">
        <v>2</v>
      </c>
      <c r="D182" s="63"/>
      <c r="E182" s="8" t="s">
        <v>151</v>
      </c>
      <c r="F182" s="98"/>
      <c r="G182" s="145"/>
      <c r="H182" s="69"/>
      <c r="I182" s="42"/>
      <c r="J182" s="8" t="s">
        <v>151</v>
      </c>
      <c r="K182" s="98"/>
      <c r="L182" s="145"/>
      <c r="M182" s="69"/>
    </row>
    <row r="183" spans="1:13" x14ac:dyDescent="0.25">
      <c r="A183" s="42" t="s">
        <v>261</v>
      </c>
      <c r="B183" s="102">
        <v>1883.9999999999998</v>
      </c>
      <c r="C183" s="68">
        <v>5</v>
      </c>
      <c r="D183" s="63"/>
      <c r="E183" s="42" t="s">
        <v>150</v>
      </c>
      <c r="F183" s="98">
        <v>2070</v>
      </c>
      <c r="G183" s="145">
        <v>2</v>
      </c>
      <c r="H183" s="69"/>
      <c r="I183" s="42"/>
      <c r="J183" s="42" t="s">
        <v>270</v>
      </c>
      <c r="K183" s="98">
        <v>5130</v>
      </c>
      <c r="L183" s="145">
        <v>3</v>
      </c>
      <c r="M183" s="69"/>
    </row>
    <row r="184" spans="1:13" ht="15.75" thickBot="1" x14ac:dyDescent="0.3">
      <c r="A184" s="42"/>
      <c r="B184" s="146">
        <v>3954</v>
      </c>
      <c r="C184" s="147">
        <v>7</v>
      </c>
      <c r="D184" s="63"/>
      <c r="E184" s="42" t="s">
        <v>155</v>
      </c>
      <c r="F184" s="98">
        <v>2063.9999999999995</v>
      </c>
      <c r="G184" s="145">
        <v>5</v>
      </c>
      <c r="H184" s="69"/>
      <c r="I184" s="42"/>
      <c r="J184" s="42" t="s">
        <v>271</v>
      </c>
      <c r="K184" s="98">
        <v>5955</v>
      </c>
      <c r="L184" s="145">
        <v>2.5</v>
      </c>
      <c r="M184" s="69"/>
    </row>
    <row r="185" spans="1:13" ht="16.5" thickTop="1" thickBot="1" x14ac:dyDescent="0.3">
      <c r="A185" s="8" t="s">
        <v>257</v>
      </c>
      <c r="B185" s="101"/>
      <c r="C185" s="10"/>
      <c r="D185" s="63"/>
      <c r="E185" s="70"/>
      <c r="F185" s="146">
        <v>4134</v>
      </c>
      <c r="G185" s="147">
        <v>7</v>
      </c>
      <c r="H185" s="69"/>
      <c r="I185" s="42"/>
      <c r="J185" s="70"/>
      <c r="K185" s="146">
        <v>11085</v>
      </c>
      <c r="L185" s="147">
        <v>5.5</v>
      </c>
      <c r="M185" s="69"/>
    </row>
    <row r="186" spans="1:13" ht="15.75" thickTop="1" x14ac:dyDescent="0.25">
      <c r="A186" s="42" t="s">
        <v>258</v>
      </c>
      <c r="B186" s="102">
        <v>360</v>
      </c>
      <c r="C186" s="68">
        <v>0.5</v>
      </c>
      <c r="D186" s="63"/>
      <c r="E186" s="8" t="s">
        <v>278</v>
      </c>
      <c r="F186" s="98"/>
      <c r="G186" s="145"/>
      <c r="H186" s="69"/>
      <c r="I186" s="42"/>
      <c r="J186" s="8" t="s">
        <v>278</v>
      </c>
      <c r="K186" s="98"/>
      <c r="L186" s="145"/>
      <c r="M186" s="69"/>
    </row>
    <row r="187" spans="1:13" x14ac:dyDescent="0.25">
      <c r="A187" s="42" t="s">
        <v>259</v>
      </c>
      <c r="B187" s="102">
        <v>4076.9999999999995</v>
      </c>
      <c r="C187" s="68">
        <v>0.5</v>
      </c>
      <c r="D187" s="63"/>
      <c r="E187" s="42" t="s">
        <v>144</v>
      </c>
      <c r="F187" s="98">
        <v>180</v>
      </c>
      <c r="G187" s="145">
        <v>0.5</v>
      </c>
      <c r="H187" s="69"/>
      <c r="I187" s="42"/>
      <c r="J187" s="42" t="s">
        <v>144</v>
      </c>
      <c r="K187" s="98">
        <v>180</v>
      </c>
      <c r="L187" s="145">
        <v>0.2</v>
      </c>
      <c r="M187" s="69"/>
    </row>
    <row r="188" spans="1:13" x14ac:dyDescent="0.25">
      <c r="A188" s="42" t="s">
        <v>44</v>
      </c>
      <c r="B188" s="102">
        <v>14040</v>
      </c>
      <c r="C188" s="68">
        <v>5</v>
      </c>
      <c r="D188" s="63"/>
      <c r="E188" s="42" t="s">
        <v>142</v>
      </c>
      <c r="F188" s="198">
        <v>12000</v>
      </c>
      <c r="G188" s="145">
        <v>0.5</v>
      </c>
      <c r="H188" s="69"/>
      <c r="I188" s="42"/>
      <c r="J188" s="42" t="s">
        <v>142</v>
      </c>
      <c r="K188" s="198">
        <v>12000</v>
      </c>
      <c r="L188" s="145">
        <v>0.3</v>
      </c>
      <c r="M188" s="69"/>
    </row>
    <row r="189" spans="1:13" ht="15.75" thickBot="1" x14ac:dyDescent="0.3">
      <c r="A189" s="42"/>
      <c r="B189" s="146">
        <v>18477</v>
      </c>
      <c r="C189" s="147">
        <v>6</v>
      </c>
      <c r="D189" s="63"/>
      <c r="E189" s="42" t="s">
        <v>264</v>
      </c>
      <c r="F189" s="98">
        <v>960</v>
      </c>
      <c r="G189" s="145">
        <v>0.5</v>
      </c>
      <c r="H189" s="69"/>
      <c r="I189" s="42"/>
      <c r="J189" s="42" t="s">
        <v>272</v>
      </c>
      <c r="K189" s="98">
        <v>960</v>
      </c>
      <c r="L189" s="145">
        <v>0.2</v>
      </c>
      <c r="M189" s="69"/>
    </row>
    <row r="190" spans="1:13" ht="15.75" thickTop="1" x14ac:dyDescent="0.25">
      <c r="A190" s="8" t="s">
        <v>148</v>
      </c>
      <c r="B190" s="101"/>
      <c r="C190" s="10"/>
      <c r="D190" s="63"/>
      <c r="E190" s="4" t="s">
        <v>143</v>
      </c>
      <c r="F190" s="98">
        <v>75</v>
      </c>
      <c r="G190" s="145">
        <v>0.5</v>
      </c>
      <c r="H190" s="42"/>
      <c r="I190" s="42"/>
      <c r="J190" s="4" t="s">
        <v>274</v>
      </c>
      <c r="K190" s="98">
        <v>75</v>
      </c>
      <c r="L190" s="145">
        <v>0.3</v>
      </c>
      <c r="M190" s="42"/>
    </row>
    <row r="191" spans="1:13" x14ac:dyDescent="0.25">
      <c r="A191" s="42" t="s">
        <v>260</v>
      </c>
      <c r="B191" s="102">
        <v>2070</v>
      </c>
      <c r="C191" s="68">
        <v>2</v>
      </c>
      <c r="D191" s="63"/>
      <c r="E191" s="42" t="s">
        <v>265</v>
      </c>
      <c r="F191" s="98">
        <v>2063.9999999999995</v>
      </c>
      <c r="G191" s="145">
        <v>5</v>
      </c>
      <c r="H191" s="69"/>
      <c r="I191" s="42"/>
      <c r="J191" s="42" t="s">
        <v>276</v>
      </c>
      <c r="K191" s="98">
        <v>3510</v>
      </c>
      <c r="L191" s="148">
        <v>1</v>
      </c>
      <c r="M191" s="42"/>
    </row>
    <row r="192" spans="1:13" ht="15.75" thickBot="1" x14ac:dyDescent="0.3">
      <c r="A192" s="42" t="s">
        <v>261</v>
      </c>
      <c r="B192" s="102">
        <v>1883.9999999999998</v>
      </c>
      <c r="C192" s="68">
        <v>5</v>
      </c>
      <c r="D192" s="63"/>
      <c r="E192" s="42"/>
      <c r="F192" s="146">
        <v>15279</v>
      </c>
      <c r="G192" s="147">
        <v>7</v>
      </c>
      <c r="H192" s="42"/>
      <c r="I192" s="42"/>
      <c r="J192" s="42" t="s">
        <v>277</v>
      </c>
      <c r="K192" s="98">
        <v>5955</v>
      </c>
      <c r="L192" s="145">
        <v>2.5</v>
      </c>
      <c r="M192" s="69"/>
    </row>
    <row r="193" spans="1:13" ht="16.5" thickTop="1" thickBot="1" x14ac:dyDescent="0.3">
      <c r="A193" s="42"/>
      <c r="B193" s="146">
        <v>3954</v>
      </c>
      <c r="C193" s="147">
        <v>7</v>
      </c>
      <c r="D193" s="63"/>
      <c r="E193" s="65" t="s">
        <v>267</v>
      </c>
      <c r="F193" s="98"/>
      <c r="G193" s="145"/>
      <c r="H193" s="69"/>
      <c r="I193" s="42"/>
      <c r="J193" s="42"/>
      <c r="K193" s="146">
        <v>22680</v>
      </c>
      <c r="L193" s="147">
        <v>4.5</v>
      </c>
      <c r="M193" s="42"/>
    </row>
    <row r="194" spans="1:13" ht="15.75" thickTop="1" x14ac:dyDescent="0.25">
      <c r="A194" s="8" t="s">
        <v>262</v>
      </c>
      <c r="B194" s="102"/>
      <c r="C194" s="68"/>
      <c r="D194" s="63"/>
      <c r="E194" s="67" t="s">
        <v>266</v>
      </c>
      <c r="F194" s="98">
        <v>13500</v>
      </c>
      <c r="G194" s="145"/>
      <c r="H194" s="71">
        <v>0.5</v>
      </c>
      <c r="I194" s="42"/>
      <c r="J194" s="65" t="s">
        <v>22</v>
      </c>
      <c r="K194" s="98"/>
      <c r="L194" s="145"/>
      <c r="M194" s="69"/>
    </row>
    <row r="195" spans="1:13" x14ac:dyDescent="0.25">
      <c r="A195" s="42" t="s">
        <v>147</v>
      </c>
      <c r="B195" s="102">
        <v>360</v>
      </c>
      <c r="C195" s="68">
        <v>0.5</v>
      </c>
      <c r="D195" s="63"/>
      <c r="E195" s="67" t="s">
        <v>46</v>
      </c>
      <c r="F195" s="98">
        <v>48923.999999999993</v>
      </c>
      <c r="G195" s="145"/>
      <c r="H195" s="71">
        <v>0.33333333333333331</v>
      </c>
      <c r="I195" s="42"/>
      <c r="J195" s="67" t="s">
        <v>252</v>
      </c>
      <c r="K195" s="98">
        <v>13500</v>
      </c>
      <c r="L195" s="145"/>
      <c r="M195" s="71">
        <v>0.5</v>
      </c>
    </row>
    <row r="196" spans="1:13" x14ac:dyDescent="0.25">
      <c r="A196" s="42" t="s">
        <v>259</v>
      </c>
      <c r="B196" s="102">
        <v>0</v>
      </c>
      <c r="C196" s="68">
        <v>0</v>
      </c>
      <c r="D196" s="63"/>
      <c r="E196" s="67" t="s">
        <v>47</v>
      </c>
      <c r="F196" s="98">
        <v>60480</v>
      </c>
      <c r="G196" s="145"/>
      <c r="H196" s="71">
        <v>8.6999999999999993</v>
      </c>
      <c r="I196" s="42"/>
      <c r="J196" s="67" t="s">
        <v>46</v>
      </c>
      <c r="K196" s="98">
        <v>48923.999999999993</v>
      </c>
      <c r="L196" s="145"/>
      <c r="M196" s="71">
        <v>0.33333333333333331</v>
      </c>
    </row>
    <row r="197" spans="1:13" ht="15.75" thickBot="1" x14ac:dyDescent="0.3">
      <c r="A197" s="42" t="s">
        <v>44</v>
      </c>
      <c r="B197" s="102">
        <v>0</v>
      </c>
      <c r="C197" s="68">
        <v>0</v>
      </c>
      <c r="D197" s="63"/>
      <c r="E197" s="67"/>
      <c r="F197" s="146">
        <v>122904</v>
      </c>
      <c r="G197" s="42"/>
      <c r="H197" s="147">
        <v>9.5333333333333332</v>
      </c>
      <c r="I197" s="42"/>
      <c r="J197" s="67" t="s">
        <v>47</v>
      </c>
      <c r="K197" s="98">
        <v>60480</v>
      </c>
      <c r="L197" s="145"/>
      <c r="M197" s="71">
        <v>8.6999999999999993</v>
      </c>
    </row>
    <row r="198" spans="1:13" ht="16.5" thickTop="1" thickBot="1" x14ac:dyDescent="0.3">
      <c r="A198" s="42"/>
      <c r="B198" s="146">
        <v>360</v>
      </c>
      <c r="C198" s="147">
        <v>0.5</v>
      </c>
      <c r="D198" s="63"/>
      <c r="E198" s="8" t="s">
        <v>279</v>
      </c>
      <c r="F198" s="98"/>
      <c r="G198" s="145"/>
      <c r="H198" s="70"/>
      <c r="I198" s="42"/>
      <c r="J198" s="67"/>
      <c r="K198" s="146">
        <v>122904</v>
      </c>
      <c r="L198" s="148"/>
      <c r="M198" s="147">
        <v>9.5333333333333332</v>
      </c>
    </row>
    <row r="199" spans="1:13" ht="16.5" thickTop="1" thickBot="1" x14ac:dyDescent="0.3">
      <c r="A199" s="66" t="s">
        <v>214</v>
      </c>
      <c r="B199" s="149">
        <v>35925</v>
      </c>
      <c r="C199" s="151">
        <v>20.5</v>
      </c>
      <c r="D199" s="63"/>
      <c r="E199" s="42" t="s">
        <v>144</v>
      </c>
      <c r="F199" s="98">
        <v>180</v>
      </c>
      <c r="G199" s="145">
        <v>0.5</v>
      </c>
      <c r="H199" s="69"/>
      <c r="I199" s="42"/>
      <c r="J199" s="8" t="s">
        <v>279</v>
      </c>
      <c r="K199" s="98"/>
      <c r="L199" s="145"/>
      <c r="M199" s="70"/>
    </row>
    <row r="200" spans="1:13" ht="15.75" thickTop="1" x14ac:dyDescent="0.25">
      <c r="A200" s="42"/>
      <c r="B200" s="42"/>
      <c r="C200" s="63"/>
      <c r="D200" s="63"/>
      <c r="E200" s="42" t="s">
        <v>142</v>
      </c>
      <c r="F200" s="198">
        <v>12000</v>
      </c>
      <c r="G200" s="145">
        <v>0.5</v>
      </c>
      <c r="H200" s="69"/>
      <c r="I200" s="42"/>
      <c r="J200" s="42" t="s">
        <v>144</v>
      </c>
      <c r="K200" s="98">
        <v>180</v>
      </c>
      <c r="L200" s="145">
        <v>0.2</v>
      </c>
      <c r="M200" s="69"/>
    </row>
    <row r="201" spans="1:13" x14ac:dyDescent="0.25">
      <c r="A201" s="42"/>
      <c r="B201" s="42"/>
      <c r="C201" s="63"/>
      <c r="D201" s="63"/>
      <c r="E201" s="42" t="s">
        <v>273</v>
      </c>
      <c r="F201" s="98">
        <v>960</v>
      </c>
      <c r="G201" s="145">
        <v>0.5</v>
      </c>
      <c r="H201" s="69"/>
      <c r="I201" s="42"/>
      <c r="J201" s="42" t="s">
        <v>142</v>
      </c>
      <c r="K201" s="198">
        <v>12000</v>
      </c>
      <c r="L201" s="145">
        <v>0.3</v>
      </c>
      <c r="M201" s="69"/>
    </row>
    <row r="202" spans="1:13" x14ac:dyDescent="0.25">
      <c r="A202" s="42"/>
      <c r="B202" s="42"/>
      <c r="C202" s="63"/>
      <c r="D202" s="63"/>
      <c r="E202" s="4" t="s">
        <v>143</v>
      </c>
      <c r="F202" s="98">
        <v>75</v>
      </c>
      <c r="G202" s="145">
        <v>0.5</v>
      </c>
      <c r="H202" s="69"/>
      <c r="I202" s="42"/>
      <c r="J202" s="42" t="s">
        <v>281</v>
      </c>
      <c r="K202" s="98">
        <v>960</v>
      </c>
      <c r="L202" s="145">
        <v>0.2</v>
      </c>
      <c r="M202" s="69"/>
    </row>
    <row r="203" spans="1:13" x14ac:dyDescent="0.25">
      <c r="A203" s="42"/>
      <c r="B203" s="42"/>
      <c r="C203" s="63"/>
      <c r="D203" s="63"/>
      <c r="E203" s="42" t="s">
        <v>265</v>
      </c>
      <c r="F203" s="98">
        <v>2063.9999999999995</v>
      </c>
      <c r="G203" s="145">
        <v>5</v>
      </c>
      <c r="H203" s="69"/>
      <c r="I203" s="42"/>
      <c r="J203" s="4" t="s">
        <v>274</v>
      </c>
      <c r="K203" s="98">
        <v>75</v>
      </c>
      <c r="L203" s="145">
        <v>0.3</v>
      </c>
      <c r="M203" s="69"/>
    </row>
    <row r="204" spans="1:13" ht="15.75" thickBot="1" x14ac:dyDescent="0.3">
      <c r="A204" s="42"/>
      <c r="B204" s="42"/>
      <c r="C204" s="63"/>
      <c r="D204" s="63"/>
      <c r="E204" s="8"/>
      <c r="F204" s="146">
        <v>15279</v>
      </c>
      <c r="G204" s="147">
        <v>7</v>
      </c>
      <c r="H204" s="69"/>
      <c r="I204" s="42"/>
      <c r="J204" s="42" t="s">
        <v>276</v>
      </c>
      <c r="K204" s="98">
        <v>3510</v>
      </c>
      <c r="L204" s="148">
        <v>1</v>
      </c>
      <c r="M204" s="69"/>
    </row>
    <row r="205" spans="1:13" ht="15.75" thickTop="1" x14ac:dyDescent="0.25">
      <c r="A205" s="42"/>
      <c r="B205" s="42"/>
      <c r="C205" s="63"/>
      <c r="D205" s="63"/>
      <c r="E205" s="8" t="s">
        <v>280</v>
      </c>
      <c r="F205" s="98"/>
      <c r="G205" s="145"/>
      <c r="H205" s="69"/>
      <c r="I205" s="42"/>
      <c r="J205" s="42" t="s">
        <v>277</v>
      </c>
      <c r="K205" s="98">
        <v>5955</v>
      </c>
      <c r="L205" s="145">
        <v>2.5</v>
      </c>
      <c r="M205" s="69"/>
    </row>
    <row r="206" spans="1:13" ht="15.75" thickBot="1" x14ac:dyDescent="0.3">
      <c r="A206" s="42"/>
      <c r="B206" s="42"/>
      <c r="C206" s="63"/>
      <c r="D206" s="63"/>
      <c r="E206" s="42" t="s">
        <v>144</v>
      </c>
      <c r="F206" s="98">
        <v>180</v>
      </c>
      <c r="G206" s="145">
        <v>0.5</v>
      </c>
      <c r="H206" s="69"/>
      <c r="I206" s="42"/>
      <c r="J206" s="8"/>
      <c r="K206" s="146">
        <v>22680</v>
      </c>
      <c r="L206" s="147">
        <v>4.5</v>
      </c>
      <c r="M206" s="69"/>
    </row>
    <row r="207" spans="1:13" ht="15.75" thickTop="1" x14ac:dyDescent="0.25">
      <c r="A207" s="42"/>
      <c r="B207" s="42"/>
      <c r="C207" s="63"/>
      <c r="D207" s="63"/>
      <c r="E207" s="42" t="s">
        <v>268</v>
      </c>
      <c r="F207" s="198">
        <v>12000</v>
      </c>
      <c r="G207" s="145">
        <v>0.5</v>
      </c>
      <c r="H207" s="69"/>
      <c r="I207" s="42"/>
      <c r="J207" s="8" t="s">
        <v>280</v>
      </c>
      <c r="K207" s="98"/>
      <c r="L207" s="145"/>
      <c r="M207" s="69"/>
    </row>
    <row r="208" spans="1:13" x14ac:dyDescent="0.25">
      <c r="A208" s="42"/>
      <c r="B208" s="42"/>
      <c r="C208" s="63"/>
      <c r="D208" s="63"/>
      <c r="E208" s="42" t="s">
        <v>273</v>
      </c>
      <c r="F208" s="98">
        <v>960</v>
      </c>
      <c r="G208" s="145">
        <v>0.5</v>
      </c>
      <c r="H208" s="69"/>
      <c r="I208" s="42"/>
      <c r="J208" s="42" t="s">
        <v>144</v>
      </c>
      <c r="K208" s="98">
        <v>180</v>
      </c>
      <c r="L208" s="145">
        <v>0.2</v>
      </c>
      <c r="M208" s="69"/>
    </row>
    <row r="209" spans="1:13" x14ac:dyDescent="0.25">
      <c r="A209" s="42">
        <v>18</v>
      </c>
      <c r="B209" s="42"/>
      <c r="C209" s="63"/>
      <c r="D209" s="63"/>
      <c r="E209" s="4" t="s">
        <v>143</v>
      </c>
      <c r="F209" s="98">
        <v>75</v>
      </c>
      <c r="G209" s="145">
        <v>0.5</v>
      </c>
      <c r="H209" s="69"/>
      <c r="I209" s="42"/>
      <c r="J209" s="42" t="s">
        <v>142</v>
      </c>
      <c r="K209" s="198">
        <v>12000</v>
      </c>
      <c r="L209" s="145">
        <v>0.3</v>
      </c>
      <c r="M209" s="69"/>
    </row>
    <row r="210" spans="1:13" ht="15.75" thickBot="1" x14ac:dyDescent="0.3">
      <c r="A210" s="42">
        <v>12</v>
      </c>
      <c r="B210" s="42"/>
      <c r="C210" s="63"/>
      <c r="D210" s="63"/>
      <c r="E210" s="1"/>
      <c r="F210" s="146">
        <v>13215</v>
      </c>
      <c r="G210" s="147">
        <v>2</v>
      </c>
      <c r="H210" s="69"/>
      <c r="I210" s="42"/>
      <c r="J210" s="42" t="s">
        <v>281</v>
      </c>
      <c r="K210" s="98">
        <v>960</v>
      </c>
      <c r="L210" s="145">
        <v>0.2</v>
      </c>
      <c r="M210" s="69"/>
    </row>
    <row r="211" spans="1:13" ht="16.5" thickTop="1" thickBot="1" x14ac:dyDescent="0.3">
      <c r="A211" s="42"/>
      <c r="B211" s="42"/>
      <c r="C211" s="63"/>
      <c r="D211" s="63"/>
      <c r="E211" s="66" t="s">
        <v>48</v>
      </c>
      <c r="F211" s="149">
        <v>197991</v>
      </c>
      <c r="G211" s="150">
        <v>23</v>
      </c>
      <c r="H211" s="69"/>
      <c r="I211" s="42"/>
      <c r="J211" s="4" t="s">
        <v>274</v>
      </c>
      <c r="K211" s="98">
        <v>75</v>
      </c>
      <c r="L211" s="145">
        <v>0.3</v>
      </c>
      <c r="M211" s="69"/>
    </row>
    <row r="212" spans="1:13" ht="15.75" thickTop="1" x14ac:dyDescent="0.25">
      <c r="A212" s="42"/>
      <c r="B212" s="42"/>
      <c r="C212" s="63"/>
      <c r="D212" s="63"/>
      <c r="E212" s="63"/>
      <c r="F212" s="63"/>
      <c r="G212" s="63"/>
      <c r="H212" s="69"/>
      <c r="I212" s="42"/>
      <c r="J212" s="42" t="s">
        <v>276</v>
      </c>
      <c r="K212" s="98">
        <v>3510</v>
      </c>
      <c r="L212" s="148">
        <v>1</v>
      </c>
      <c r="M212" s="69"/>
    </row>
    <row r="213" spans="1:13" ht="19.5" thickBot="1" x14ac:dyDescent="0.35">
      <c r="A213" s="42"/>
      <c r="B213" s="42"/>
      <c r="C213" s="63"/>
      <c r="D213" s="63"/>
      <c r="E213" s="188" t="s">
        <v>60</v>
      </c>
      <c r="F213" s="189">
        <v>5.5112317327766176</v>
      </c>
      <c r="G213" s="189"/>
      <c r="H213" s="69"/>
      <c r="I213" s="42"/>
      <c r="J213" s="42" t="s">
        <v>277</v>
      </c>
      <c r="K213" s="98">
        <v>5955</v>
      </c>
      <c r="L213" s="145">
        <v>2.5</v>
      </c>
      <c r="M213" s="69"/>
    </row>
    <row r="214" spans="1:13" ht="20.25" thickTop="1" thickBot="1" x14ac:dyDescent="0.35">
      <c r="A214" s="42"/>
      <c r="B214" s="42"/>
      <c r="C214" s="63"/>
      <c r="D214" s="63"/>
      <c r="E214" s="190" t="s">
        <v>50</v>
      </c>
      <c r="F214" s="191">
        <v>54000</v>
      </c>
      <c r="G214" s="192"/>
      <c r="H214" s="69"/>
      <c r="I214" s="42"/>
      <c r="J214" s="8"/>
      <c r="K214" s="146">
        <v>22680</v>
      </c>
      <c r="L214" s="147">
        <v>4.5</v>
      </c>
      <c r="M214" s="69"/>
    </row>
    <row r="215" spans="1:13" ht="19.5" thickTop="1" x14ac:dyDescent="0.3">
      <c r="A215" s="42"/>
      <c r="B215" s="42"/>
      <c r="C215" s="63"/>
      <c r="D215" s="63"/>
      <c r="E215" s="190" t="s">
        <v>51</v>
      </c>
      <c r="F215" s="191">
        <v>143991</v>
      </c>
      <c r="G215" s="192"/>
      <c r="H215" s="63"/>
      <c r="I215" s="42"/>
      <c r="J215" s="8" t="s">
        <v>156</v>
      </c>
      <c r="K215" s="98"/>
      <c r="L215" s="145"/>
      <c r="M215" s="69"/>
    </row>
    <row r="216" spans="1:13" ht="18.75" x14ac:dyDescent="0.3">
      <c r="A216" s="42"/>
      <c r="B216" s="42"/>
      <c r="C216" s="63"/>
      <c r="D216" s="63"/>
      <c r="E216" s="193" t="s">
        <v>57</v>
      </c>
      <c r="F216" s="194">
        <v>0.72726033001500068</v>
      </c>
      <c r="G216" s="195"/>
      <c r="H216" s="63"/>
      <c r="I216" s="42"/>
      <c r="J216" s="42" t="s">
        <v>144</v>
      </c>
      <c r="K216" s="98">
        <v>180</v>
      </c>
      <c r="L216" s="145">
        <v>0.2</v>
      </c>
      <c r="M216" s="63"/>
    </row>
    <row r="217" spans="1:13" ht="18.75" x14ac:dyDescent="0.3">
      <c r="A217" s="42"/>
      <c r="B217" s="42"/>
      <c r="C217" s="63"/>
      <c r="D217" s="63"/>
      <c r="E217" s="193" t="s">
        <v>58</v>
      </c>
      <c r="F217" s="194">
        <v>0.27273966998499932</v>
      </c>
      <c r="G217" s="195"/>
      <c r="H217" s="72"/>
      <c r="I217" s="42"/>
      <c r="J217" s="42" t="s">
        <v>142</v>
      </c>
      <c r="K217" s="198">
        <v>12000</v>
      </c>
      <c r="L217" s="145">
        <v>0.3</v>
      </c>
      <c r="M217" s="63"/>
    </row>
    <row r="218" spans="1:13" ht="18.75" x14ac:dyDescent="0.3">
      <c r="A218" s="42"/>
      <c r="B218" s="42"/>
      <c r="C218" s="63"/>
      <c r="D218" s="63"/>
      <c r="E218" s="42"/>
      <c r="F218" s="42"/>
      <c r="G218" s="42"/>
      <c r="H218" s="42"/>
      <c r="I218" s="42"/>
      <c r="J218" s="42" t="s">
        <v>281</v>
      </c>
      <c r="K218" s="98">
        <v>960</v>
      </c>
      <c r="L218" s="145">
        <v>0.2</v>
      </c>
      <c r="M218" s="72"/>
    </row>
    <row r="219" spans="1:13" x14ac:dyDescent="0.25">
      <c r="A219" s="42"/>
      <c r="B219" s="42"/>
      <c r="C219" s="63"/>
      <c r="D219" s="63"/>
      <c r="E219" s="42"/>
      <c r="F219" s="42"/>
      <c r="G219" s="42"/>
      <c r="H219" s="42"/>
      <c r="I219" s="42"/>
      <c r="J219" s="4" t="s">
        <v>274</v>
      </c>
      <c r="K219" s="98">
        <v>75</v>
      </c>
      <c r="L219" s="145">
        <v>0.3</v>
      </c>
      <c r="M219" s="42"/>
    </row>
    <row r="220" spans="1:13" ht="18.75" x14ac:dyDescent="0.3">
      <c r="A220" s="72"/>
      <c r="B220" s="72"/>
      <c r="C220" s="73"/>
      <c r="D220" s="73"/>
      <c r="E220" s="42"/>
      <c r="F220" s="42"/>
      <c r="G220" s="42"/>
      <c r="H220" s="42"/>
      <c r="I220" s="72"/>
      <c r="J220" s="42" t="s">
        <v>276</v>
      </c>
      <c r="K220" s="98">
        <v>3510</v>
      </c>
      <c r="L220" s="148">
        <v>1</v>
      </c>
      <c r="M220" s="42"/>
    </row>
    <row r="221" spans="1:13" x14ac:dyDescent="0.25">
      <c r="A221" s="42"/>
      <c r="B221" s="42"/>
      <c r="C221" s="63"/>
      <c r="D221" s="63"/>
      <c r="E221" s="42"/>
      <c r="F221" s="42"/>
      <c r="G221" s="42"/>
      <c r="H221" s="42"/>
      <c r="I221" s="42"/>
      <c r="J221" s="42" t="s">
        <v>277</v>
      </c>
      <c r="K221" s="98">
        <v>5955</v>
      </c>
      <c r="L221" s="145">
        <v>2.5</v>
      </c>
      <c r="M221" s="42"/>
    </row>
    <row r="222" spans="1:13" ht="15.75" thickBot="1" x14ac:dyDescent="0.3">
      <c r="A222" s="42"/>
      <c r="B222" s="42"/>
      <c r="C222" s="63"/>
      <c r="D222" s="63"/>
      <c r="E222" s="42"/>
      <c r="F222" s="42"/>
      <c r="G222" s="42"/>
      <c r="H222" s="42"/>
      <c r="I222" s="42"/>
      <c r="J222" s="8"/>
      <c r="K222" s="146">
        <v>22680</v>
      </c>
      <c r="L222" s="147">
        <v>4.5</v>
      </c>
      <c r="M222" s="42"/>
    </row>
    <row r="223" spans="1:13" ht="16.5" thickTop="1" thickBot="1" x14ac:dyDescent="0.3">
      <c r="A223" s="42"/>
      <c r="B223" s="42"/>
      <c r="C223" s="63"/>
      <c r="D223" s="63"/>
      <c r="E223" s="42"/>
      <c r="F223" s="42"/>
      <c r="G223" s="42"/>
      <c r="H223" s="42"/>
      <c r="I223" s="42"/>
      <c r="J223" s="66" t="s">
        <v>48</v>
      </c>
      <c r="K223" s="149">
        <v>251889</v>
      </c>
      <c r="L223" s="150">
        <v>23.5</v>
      </c>
      <c r="M223" s="42"/>
    </row>
    <row r="224" spans="1:13" ht="15.75" thickTop="1" x14ac:dyDescent="0.25">
      <c r="A224" s="42"/>
      <c r="B224" s="42"/>
      <c r="C224" s="63"/>
      <c r="D224" s="63"/>
      <c r="E224" s="42"/>
      <c r="F224" s="42"/>
      <c r="G224" s="42"/>
      <c r="H224" s="42"/>
      <c r="I224" s="42"/>
      <c r="J224" s="63"/>
      <c r="K224" s="63"/>
      <c r="L224" s="68"/>
      <c r="M224" s="42"/>
    </row>
    <row r="225" spans="1:13" ht="19.5" thickBot="1" x14ac:dyDescent="0.35">
      <c r="A225" s="42"/>
      <c r="B225" s="42"/>
      <c r="C225" s="63"/>
      <c r="D225" s="63"/>
      <c r="E225" s="42"/>
      <c r="F225" s="42"/>
      <c r="G225" s="42"/>
      <c r="H225" s="42"/>
      <c r="I225" s="42"/>
      <c r="J225" s="188" t="s">
        <v>157</v>
      </c>
      <c r="K225" s="189">
        <v>7.0115240083507304</v>
      </c>
      <c r="L225" s="189"/>
      <c r="M225" s="42"/>
    </row>
    <row r="226" spans="1:13" ht="20.25" thickTop="1" thickBot="1" x14ac:dyDescent="0.35">
      <c r="A226" s="42"/>
      <c r="B226" s="42"/>
      <c r="C226" s="63"/>
      <c r="D226" s="63"/>
      <c r="E226" s="42"/>
      <c r="F226" s="42"/>
      <c r="G226" s="42"/>
      <c r="H226" s="42"/>
      <c r="I226" s="42"/>
      <c r="J226" s="188" t="s">
        <v>145</v>
      </c>
      <c r="K226" s="189">
        <v>1.2722244950528054</v>
      </c>
      <c r="L226" s="189"/>
      <c r="M226" s="42"/>
    </row>
    <row r="227" spans="1:13" ht="19.5" thickTop="1" x14ac:dyDescent="0.3">
      <c r="A227" s="42"/>
      <c r="B227" s="42"/>
      <c r="C227" s="63"/>
      <c r="D227" s="63"/>
      <c r="E227" s="42"/>
      <c r="F227" s="42"/>
      <c r="G227" s="42"/>
      <c r="H227" s="42"/>
      <c r="I227" s="42"/>
      <c r="J227" s="190" t="s">
        <v>50</v>
      </c>
      <c r="K227" s="191">
        <v>66000</v>
      </c>
      <c r="L227" s="196"/>
      <c r="M227" s="42"/>
    </row>
    <row r="228" spans="1:13" ht="18.75" x14ac:dyDescent="0.3">
      <c r="A228" s="42"/>
      <c r="B228" s="42"/>
      <c r="C228" s="63"/>
      <c r="D228" s="63"/>
      <c r="E228" s="42"/>
      <c r="F228" s="42"/>
      <c r="G228" s="42"/>
      <c r="H228" s="42"/>
      <c r="I228" s="42"/>
      <c r="J228" s="190" t="s">
        <v>51</v>
      </c>
      <c r="K228" s="191">
        <v>185889</v>
      </c>
      <c r="L228" s="196"/>
      <c r="M228" s="42"/>
    </row>
    <row r="229" spans="1:13" ht="18.75" x14ac:dyDescent="0.3">
      <c r="A229" s="42"/>
      <c r="B229" s="42"/>
      <c r="C229" s="63"/>
      <c r="D229" s="63"/>
      <c r="E229" s="42"/>
      <c r="F229" s="42"/>
      <c r="G229" s="42"/>
      <c r="H229" s="42"/>
      <c r="I229" s="42"/>
      <c r="J229" s="193" t="s">
        <v>57</v>
      </c>
      <c r="K229" s="194">
        <v>0.73797982444648236</v>
      </c>
      <c r="L229" s="197"/>
      <c r="M229" s="42"/>
    </row>
    <row r="230" spans="1:13" ht="18.75" x14ac:dyDescent="0.3">
      <c r="A230" s="42"/>
      <c r="B230" s="42"/>
      <c r="C230" s="63"/>
      <c r="D230" s="63"/>
      <c r="E230" s="42"/>
      <c r="F230" s="42"/>
      <c r="G230" s="42"/>
      <c r="H230" s="42"/>
      <c r="I230" s="42"/>
      <c r="J230" s="193" t="s">
        <v>58</v>
      </c>
      <c r="K230" s="194">
        <v>0.26202017555351764</v>
      </c>
      <c r="L230" s="197"/>
      <c r="M230" s="4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00FF"/>
  </sheetPr>
  <dimension ref="A1:G27"/>
  <sheetViews>
    <sheetView showGridLines="0" zoomScale="115" zoomScaleNormal="115" workbookViewId="0">
      <selection activeCell="E29" sqref="E29"/>
    </sheetView>
  </sheetViews>
  <sheetFormatPr defaultColWidth="52.5703125" defaultRowHeight="15" x14ac:dyDescent="0.25"/>
  <cols>
    <col min="1" max="1" width="52.85546875" bestFit="1" customWidth="1"/>
    <col min="2" max="2" width="13.42578125" bestFit="1" customWidth="1"/>
    <col min="3" max="3" width="6.42578125" bestFit="1" customWidth="1"/>
    <col min="4" max="4" width="16.5703125" customWidth="1"/>
    <col min="5" max="5" width="52.85546875" bestFit="1" customWidth="1"/>
    <col min="6" max="6" width="13.42578125" bestFit="1" customWidth="1"/>
    <col min="7" max="7" width="6.42578125" bestFit="1" customWidth="1"/>
  </cols>
  <sheetData>
    <row r="1" spans="1:7" x14ac:dyDescent="0.25">
      <c r="A1" s="43" t="s">
        <v>304</v>
      </c>
      <c r="E1" s="43" t="s">
        <v>306</v>
      </c>
    </row>
    <row r="2" spans="1:7" x14ac:dyDescent="0.25">
      <c r="A2" s="184"/>
      <c r="B2" s="184" t="s">
        <v>215</v>
      </c>
      <c r="C2" s="184" t="s">
        <v>21</v>
      </c>
      <c r="E2" s="184"/>
      <c r="F2" s="184" t="s">
        <v>215</v>
      </c>
      <c r="G2" s="184" t="s">
        <v>21</v>
      </c>
    </row>
    <row r="3" spans="1:7" x14ac:dyDescent="0.25">
      <c r="A3" s="183" t="s">
        <v>292</v>
      </c>
      <c r="B3" s="183"/>
      <c r="C3" s="183"/>
      <c r="D3" s="74"/>
      <c r="E3" s="183" t="s">
        <v>292</v>
      </c>
      <c r="F3" s="183"/>
      <c r="G3" s="183"/>
    </row>
    <row r="4" spans="1:7" x14ac:dyDescent="0.25">
      <c r="A4" s="179" t="s">
        <v>293</v>
      </c>
      <c r="B4" s="180">
        <f>'SHEET E'!B25</f>
        <v>35925</v>
      </c>
      <c r="C4" s="179">
        <v>20.5</v>
      </c>
      <c r="D4" s="74"/>
      <c r="E4" s="179" t="s">
        <v>293</v>
      </c>
      <c r="F4" s="180">
        <v>35925</v>
      </c>
      <c r="G4" s="179">
        <v>20.5</v>
      </c>
    </row>
    <row r="5" spans="1:7" x14ac:dyDescent="0.25">
      <c r="A5" s="179" t="s">
        <v>294</v>
      </c>
      <c r="B5" s="180">
        <f>'SHEET E'!F37</f>
        <v>359991</v>
      </c>
      <c r="C5" s="179">
        <v>23</v>
      </c>
      <c r="D5" s="74"/>
      <c r="E5" s="179" t="s">
        <v>294</v>
      </c>
      <c r="F5" s="180">
        <v>251991</v>
      </c>
      <c r="G5" s="179">
        <v>23</v>
      </c>
    </row>
    <row r="6" spans="1:7" x14ac:dyDescent="0.25">
      <c r="A6" s="181" t="s">
        <v>295</v>
      </c>
      <c r="B6" s="182">
        <f>'SHEET E'!F42</f>
        <v>0.39998499962499062</v>
      </c>
      <c r="C6" s="179"/>
      <c r="D6" s="74"/>
      <c r="E6" s="181" t="s">
        <v>295</v>
      </c>
      <c r="F6" s="182">
        <v>0.57141326475945564</v>
      </c>
      <c r="G6" s="179"/>
    </row>
    <row r="7" spans="1:7" x14ac:dyDescent="0.25">
      <c r="A7" s="181" t="s">
        <v>296</v>
      </c>
      <c r="B7" s="182">
        <f>'SHEET E'!F43</f>
        <v>0.60001500037500932</v>
      </c>
      <c r="C7" s="179"/>
      <c r="D7" s="74"/>
      <c r="E7" s="181" t="s">
        <v>296</v>
      </c>
      <c r="F7" s="182">
        <v>0.42858673524054436</v>
      </c>
      <c r="G7" s="179"/>
    </row>
    <row r="8" spans="1:7" x14ac:dyDescent="0.25">
      <c r="A8" s="179" t="s">
        <v>297</v>
      </c>
      <c r="B8" s="180">
        <f>'SHEET E'!K49</f>
        <v>449889</v>
      </c>
      <c r="C8" s="179">
        <v>23.5</v>
      </c>
      <c r="D8" s="74"/>
      <c r="E8" s="179" t="s">
        <v>297</v>
      </c>
      <c r="F8" s="180">
        <v>317889</v>
      </c>
      <c r="G8" s="179">
        <v>23.5</v>
      </c>
    </row>
    <row r="9" spans="1:7" x14ac:dyDescent="0.25">
      <c r="A9" s="181" t="s">
        <v>295</v>
      </c>
      <c r="B9" s="176">
        <f>'SHEET E'!K55</f>
        <v>0.41318858651800777</v>
      </c>
      <c r="C9" s="179"/>
      <c r="D9" s="74"/>
      <c r="E9" s="181" t="s">
        <v>295</v>
      </c>
      <c r="F9" s="176">
        <v>0.58476071836395727</v>
      </c>
      <c r="G9" s="179"/>
    </row>
    <row r="10" spans="1:7" x14ac:dyDescent="0.25">
      <c r="A10" s="181" t="s">
        <v>296</v>
      </c>
      <c r="B10" s="176">
        <f>'SHEET E'!K56</f>
        <v>0.58681141348199217</v>
      </c>
      <c r="C10" s="179"/>
      <c r="D10" s="74"/>
      <c r="E10" s="181" t="s">
        <v>296</v>
      </c>
      <c r="F10" s="176">
        <v>0.41523928163604273</v>
      </c>
      <c r="G10" s="179"/>
    </row>
    <row r="11" spans="1:7" x14ac:dyDescent="0.25">
      <c r="A11" s="177" t="s">
        <v>298</v>
      </c>
      <c r="B11" s="178">
        <f>B5/B4</f>
        <v>10.02062630480167</v>
      </c>
      <c r="C11" s="179"/>
      <c r="D11" s="74"/>
      <c r="E11" s="177" t="s">
        <v>298</v>
      </c>
      <c r="F11" s="178">
        <f>F5/F4</f>
        <v>7.0143632567849687</v>
      </c>
      <c r="G11" s="179"/>
    </row>
    <row r="12" spans="1:7" x14ac:dyDescent="0.25">
      <c r="A12" s="177" t="s">
        <v>299</v>
      </c>
      <c r="B12" s="178">
        <f>B8/B4</f>
        <v>12.523006263048016</v>
      </c>
      <c r="C12" s="179"/>
      <c r="D12" s="74"/>
      <c r="E12" s="177" t="s">
        <v>299</v>
      </c>
      <c r="F12" s="178">
        <f>F8/F4</f>
        <v>8.8486847599164928</v>
      </c>
      <c r="G12" s="179"/>
    </row>
    <row r="13" spans="1:7" x14ac:dyDescent="0.25">
      <c r="A13" s="185" t="s">
        <v>300</v>
      </c>
      <c r="B13" s="186">
        <f>B8/B5</f>
        <v>1.2497229097394102</v>
      </c>
      <c r="C13" s="187"/>
      <c r="D13" s="74"/>
      <c r="E13" s="185" t="s">
        <v>300</v>
      </c>
      <c r="F13" s="186">
        <f>F8/F5</f>
        <v>1.261509339619272</v>
      </c>
      <c r="G13" s="187"/>
    </row>
    <row r="14" spans="1:7" x14ac:dyDescent="0.25">
      <c r="A14" s="74"/>
      <c r="B14" s="74"/>
      <c r="C14" s="74"/>
      <c r="D14" s="74"/>
      <c r="E14" s="74"/>
      <c r="F14" s="74"/>
      <c r="G14" s="74"/>
    </row>
    <row r="15" spans="1:7" x14ac:dyDescent="0.25">
      <c r="A15" s="43" t="s">
        <v>305</v>
      </c>
      <c r="E15" s="43" t="s">
        <v>307</v>
      </c>
      <c r="F15" s="74"/>
      <c r="G15" s="74"/>
    </row>
    <row r="16" spans="1:7" x14ac:dyDescent="0.25">
      <c r="A16" s="184"/>
      <c r="B16" s="184" t="s">
        <v>215</v>
      </c>
      <c r="C16" s="184" t="s">
        <v>21</v>
      </c>
      <c r="D16" s="74"/>
      <c r="E16" s="184"/>
      <c r="F16" s="184" t="s">
        <v>215</v>
      </c>
      <c r="G16" s="184" t="s">
        <v>21</v>
      </c>
    </row>
    <row r="17" spans="1:7" x14ac:dyDescent="0.25">
      <c r="A17" s="183" t="s">
        <v>292</v>
      </c>
      <c r="B17" s="183"/>
      <c r="C17" s="183"/>
      <c r="D17" s="74"/>
      <c r="E17" s="183" t="s">
        <v>292</v>
      </c>
      <c r="F17" s="183"/>
      <c r="G17" s="183"/>
    </row>
    <row r="18" spans="1:7" x14ac:dyDescent="0.25">
      <c r="A18" s="179" t="s">
        <v>293</v>
      </c>
      <c r="B18" s="180">
        <v>35925</v>
      </c>
      <c r="C18" s="179">
        <v>20.5</v>
      </c>
      <c r="D18" s="74"/>
      <c r="E18" s="179" t="s">
        <v>293</v>
      </c>
      <c r="F18" s="180">
        <v>35925</v>
      </c>
      <c r="G18" s="179">
        <v>20.5</v>
      </c>
    </row>
    <row r="19" spans="1:7" x14ac:dyDescent="0.25">
      <c r="A19" s="179" t="s">
        <v>294</v>
      </c>
      <c r="B19" s="180">
        <v>305991</v>
      </c>
      <c r="C19" s="179">
        <v>23</v>
      </c>
      <c r="D19" s="74"/>
      <c r="E19" s="179" t="s">
        <v>294</v>
      </c>
      <c r="F19" s="180">
        <v>197991</v>
      </c>
      <c r="G19" s="179">
        <v>23</v>
      </c>
    </row>
    <row r="20" spans="1:7" x14ac:dyDescent="0.25">
      <c r="A20" s="181" t="s">
        <v>295</v>
      </c>
      <c r="B20" s="182">
        <f>'SHEET E'!F100</f>
        <v>0.47057266390187946</v>
      </c>
      <c r="C20" s="179"/>
      <c r="D20" s="74"/>
      <c r="E20" s="181" t="s">
        <v>295</v>
      </c>
      <c r="F20" s="182">
        <v>0.72726033001500068</v>
      </c>
      <c r="G20" s="179"/>
    </row>
    <row r="21" spans="1:7" x14ac:dyDescent="0.25">
      <c r="A21" s="181" t="s">
        <v>296</v>
      </c>
      <c r="B21" s="182">
        <f>'SHEET E'!F101</f>
        <v>0.52942733609812054</v>
      </c>
      <c r="C21" s="179"/>
      <c r="D21" s="74"/>
      <c r="E21" s="181" t="s">
        <v>296</v>
      </c>
      <c r="F21" s="182">
        <v>0.27273966998499932</v>
      </c>
      <c r="G21" s="179"/>
    </row>
    <row r="22" spans="1:7" x14ac:dyDescent="0.25">
      <c r="A22" s="179" t="s">
        <v>297</v>
      </c>
      <c r="B22" s="180">
        <v>383889</v>
      </c>
      <c r="C22" s="179">
        <v>23.5</v>
      </c>
      <c r="D22" s="74"/>
      <c r="E22" s="179" t="s">
        <v>297</v>
      </c>
      <c r="F22" s="180">
        <v>251889</v>
      </c>
      <c r="G22" s="179">
        <v>23.5</v>
      </c>
    </row>
    <row r="23" spans="1:7" x14ac:dyDescent="0.25">
      <c r="A23" s="181" t="s">
        <v>295</v>
      </c>
      <c r="B23" s="176">
        <f>'SHEET E'!K113</f>
        <v>0.48422590905183532</v>
      </c>
      <c r="C23" s="179"/>
      <c r="D23" s="74"/>
      <c r="E23" s="181" t="s">
        <v>295</v>
      </c>
      <c r="F23" s="176">
        <v>0.73797982444648236</v>
      </c>
      <c r="G23" s="179"/>
    </row>
    <row r="24" spans="1:7" x14ac:dyDescent="0.25">
      <c r="A24" s="181" t="s">
        <v>296</v>
      </c>
      <c r="B24" s="176">
        <f>'SHEET E'!K114</f>
        <v>0.51577409094816473</v>
      </c>
      <c r="C24" s="179"/>
      <c r="D24" s="74"/>
      <c r="E24" s="181" t="s">
        <v>296</v>
      </c>
      <c r="F24" s="176">
        <v>0.26202017555351764</v>
      </c>
      <c r="G24" s="179"/>
    </row>
    <row r="25" spans="1:7" x14ac:dyDescent="0.25">
      <c r="A25" s="177" t="s">
        <v>298</v>
      </c>
      <c r="B25" s="178">
        <f>B19/B18</f>
        <v>8.517494780793319</v>
      </c>
      <c r="C25" s="179"/>
      <c r="D25" s="74"/>
      <c r="E25" s="177" t="s">
        <v>298</v>
      </c>
      <c r="F25" s="178">
        <f>F19/F18</f>
        <v>5.5112317327766176</v>
      </c>
      <c r="G25" s="179"/>
    </row>
    <row r="26" spans="1:7" x14ac:dyDescent="0.25">
      <c r="A26" s="177" t="s">
        <v>299</v>
      </c>
      <c r="B26" s="178">
        <f>B22/B18</f>
        <v>10.685845511482254</v>
      </c>
      <c r="C26" s="179"/>
      <c r="D26" s="74"/>
      <c r="E26" s="177" t="s">
        <v>299</v>
      </c>
      <c r="F26" s="178">
        <f>F22/F18</f>
        <v>7.0115240083507304</v>
      </c>
      <c r="G26" s="179"/>
    </row>
    <row r="27" spans="1:7" x14ac:dyDescent="0.25">
      <c r="A27" s="185" t="s">
        <v>300</v>
      </c>
      <c r="B27" s="186">
        <f>B22/B19</f>
        <v>1.254576114983774</v>
      </c>
      <c r="C27" s="187"/>
      <c r="D27" s="74"/>
      <c r="E27" s="185" t="s">
        <v>300</v>
      </c>
      <c r="F27" s="186">
        <f>F22/F19</f>
        <v>1.2722244950528054</v>
      </c>
      <c r="G27" s="1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LEGENDS</vt:lpstr>
      <vt:lpstr>SHEET A</vt:lpstr>
      <vt:lpstr>SHEET A2</vt:lpstr>
      <vt:lpstr>SHEET B</vt:lpstr>
      <vt:lpstr>SHEET C</vt:lpstr>
      <vt:lpstr>SHEET D</vt:lpstr>
      <vt:lpstr>SHEET E</vt:lpstr>
      <vt:lpstr>SHEET F</vt:lpstr>
      <vt:lpstr>'SHEET B'!Print_Area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2022-07-02T11:57:27Z</dcterms:modified>
</cp:coreProperties>
</file>