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filterPrivacy="1" defaultThemeVersion="124226"/>
  <xr:revisionPtr revIDLastSave="63" documentId="11_621BD1844E0B339DA7EC9E666F2A5E9C0287DA07" xr6:coauthVersionLast="47" xr6:coauthVersionMax="47" xr10:uidLastSave="{57B25192-ECE0-4E45-BDF2-49AC44A1FFA2}"/>
  <bookViews>
    <workbookView xWindow="-120" yWindow="-120" windowWidth="29040" windowHeight="15840" tabRatio="734" activeTab="6" xr2:uid="{00000000-000D-0000-FFFF-FFFF00000000}"/>
  </bookViews>
  <sheets>
    <sheet name="LEGENDS" sheetId="16" r:id="rId1"/>
    <sheet name="SHEET A" sheetId="15" r:id="rId2"/>
    <sheet name="SHEET B" sheetId="8" r:id="rId3"/>
    <sheet name="SHEET C" sheetId="11" r:id="rId4"/>
    <sheet name="SHEET D" sheetId="17" r:id="rId5"/>
    <sheet name="SHEET E" sheetId="24" r:id="rId6"/>
    <sheet name="SHEET F" sheetId="22" r:id="rId7"/>
  </sheets>
  <definedNames>
    <definedName name="_xlnm.Print_Area" localSheetId="2">'SHEET B'!$A$1:$D$60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50" i="24" l="1"/>
  <c r="B17" i="24"/>
  <c r="F40" i="24"/>
  <c r="K45" i="24"/>
  <c r="B207" i="17"/>
  <c r="B100" i="17" l="1"/>
  <c r="B74" i="11"/>
  <c r="B62" i="11"/>
  <c r="B179" i="17"/>
  <c r="B178" i="17"/>
  <c r="B39" i="17"/>
  <c r="B167" i="17"/>
  <c r="B157" i="17"/>
  <c r="B10" i="22"/>
  <c r="B9" i="22"/>
  <c r="B7" i="22"/>
  <c r="B6" i="22"/>
  <c r="B8" i="22"/>
  <c r="B5" i="22"/>
  <c r="B4" i="22"/>
  <c r="F18" i="15" l="1"/>
  <c r="G18" i="15" s="1"/>
  <c r="F17" i="15"/>
  <c r="G17" i="15" s="1"/>
  <c r="F16" i="15"/>
  <c r="G16" i="15" s="1"/>
  <c r="G15" i="15"/>
  <c r="B136" i="11" l="1"/>
  <c r="B161" i="17" l="1"/>
  <c r="B122" i="17"/>
  <c r="B83" i="17"/>
  <c r="B43" i="17"/>
  <c r="B15" i="17"/>
  <c r="B98" i="11"/>
  <c r="B66" i="11"/>
  <c r="B34" i="11"/>
  <c r="B17" i="8" l="1"/>
  <c r="B19" i="8" s="1"/>
  <c r="C19" i="15"/>
  <c r="C18" i="15"/>
  <c r="C17" i="15"/>
  <c r="C10" i="15"/>
  <c r="B36" i="17" s="1"/>
  <c r="C9" i="15"/>
  <c r="B100" i="11" l="1"/>
  <c r="B68" i="11"/>
  <c r="B36" i="11"/>
  <c r="B35" i="11"/>
  <c r="B67" i="11"/>
  <c r="B76" i="17"/>
  <c r="B115" i="17"/>
  <c r="B154" i="17"/>
  <c r="D122" i="11"/>
  <c r="C168" i="17"/>
  <c r="D168" i="17" s="1"/>
  <c r="D159" i="17"/>
  <c r="D149" i="17"/>
  <c r="D144" i="17"/>
  <c r="B141" i="17"/>
  <c r="D136" i="17"/>
  <c r="B133" i="17"/>
  <c r="D130" i="17"/>
  <c r="D120" i="17"/>
  <c r="D110" i="17"/>
  <c r="D105" i="17"/>
  <c r="B102" i="17"/>
  <c r="D97" i="17"/>
  <c r="B94" i="17"/>
  <c r="D91" i="17"/>
  <c r="D81" i="17"/>
  <c r="D71" i="17"/>
  <c r="D66" i="17"/>
  <c r="B63" i="17"/>
  <c r="D58" i="17"/>
  <c r="B55" i="17"/>
  <c r="D52" i="17"/>
  <c r="D26" i="17"/>
  <c r="B37" i="11" l="1"/>
  <c r="B69" i="11"/>
  <c r="C27" i="15" l="1"/>
  <c r="C26" i="15"/>
  <c r="C8" i="15" l="1"/>
  <c r="B37" i="17" s="1"/>
  <c r="C202" i="17"/>
  <c r="D200" i="17"/>
  <c r="D190" i="17"/>
  <c r="D181" i="17"/>
  <c r="D173" i="17"/>
  <c r="D202" i="17" s="1"/>
  <c r="D41" i="17"/>
  <c r="D31" i="17"/>
  <c r="B23" i="17"/>
  <c r="B173" i="17" s="1"/>
  <c r="B197" i="17" s="1"/>
  <c r="D18" i="17"/>
  <c r="D11" i="17"/>
  <c r="C161" i="11"/>
  <c r="D159" i="11"/>
  <c r="D149" i="11"/>
  <c r="D140" i="11"/>
  <c r="D132" i="11"/>
  <c r="C32" i="15"/>
  <c r="B119" i="11"/>
  <c r="B87" i="11"/>
  <c r="C7" i="15"/>
  <c r="C29" i="15"/>
  <c r="D58" i="11"/>
  <c r="B55" i="11"/>
  <c r="D50" i="11"/>
  <c r="B47" i="11"/>
  <c r="D44" i="11"/>
  <c r="B23" i="11"/>
  <c r="B132" i="11" s="1"/>
  <c r="B156" i="11" s="1"/>
  <c r="B56" i="11" l="1"/>
  <c r="B24" i="17"/>
  <c r="B64" i="17"/>
  <c r="B24" i="11"/>
  <c r="D161" i="11"/>
  <c r="B77" i="17"/>
  <c r="B155" i="17"/>
  <c r="B116" i="17"/>
  <c r="B103" i="17"/>
  <c r="B142" i="17"/>
  <c r="B120" i="11"/>
  <c r="B88" i="11"/>
  <c r="B134" i="11"/>
  <c r="B175" i="17"/>
  <c r="B43" i="8"/>
  <c r="B45" i="8" s="1"/>
  <c r="C5" i="15"/>
  <c r="B34" i="17" s="1"/>
  <c r="C6" i="15"/>
  <c r="B35" i="17" s="1"/>
  <c r="B142" i="11" l="1"/>
  <c r="B137" i="11"/>
  <c r="B144" i="11"/>
  <c r="B74" i="17"/>
  <c r="B113" i="17"/>
  <c r="B152" i="17"/>
  <c r="B75" i="17"/>
  <c r="B153" i="17"/>
  <c r="B114" i="17"/>
  <c r="B183" i="17"/>
  <c r="B185" i="17" s="1"/>
  <c r="C12" i="15"/>
  <c r="B11" i="11" l="1"/>
  <c r="B44" i="11"/>
  <c r="B48" i="11" s="1"/>
  <c r="B52" i="17"/>
  <c r="B91" i="17"/>
  <c r="B95" i="17" s="1"/>
  <c r="B130" i="17"/>
  <c r="B134" i="17" s="1"/>
  <c r="B11" i="17"/>
  <c r="B108" i="11"/>
  <c r="B76" i="11"/>
  <c r="B56" i="17" l="1"/>
  <c r="B35" i="8"/>
  <c r="B9" i="8"/>
  <c r="C31" i="15"/>
  <c r="B143" i="11" s="1"/>
  <c r="B145" i="11" s="1"/>
  <c r="C30" i="15"/>
  <c r="C33" i="15"/>
  <c r="C35" i="15"/>
  <c r="B4" i="8" s="1"/>
  <c r="C36" i="15"/>
  <c r="B5" i="8" s="1"/>
  <c r="C37" i="15"/>
  <c r="C15" i="15"/>
  <c r="C13" i="15"/>
  <c r="C21" i="15"/>
  <c r="B32" i="17" s="1"/>
  <c r="B38" i="17" s="1"/>
  <c r="C22" i="15"/>
  <c r="C23" i="15"/>
  <c r="B39" i="11" s="1"/>
  <c r="B6" i="8" l="1"/>
  <c r="B7" i="8" s="1"/>
  <c r="B46" i="17"/>
  <c r="B45" i="17"/>
  <c r="B163" i="17"/>
  <c r="B124" i="17"/>
  <c r="B85" i="17"/>
  <c r="B135" i="11"/>
  <c r="B138" i="11" s="1"/>
  <c r="B176" i="17"/>
  <c r="B12" i="11"/>
  <c r="B12" i="17"/>
  <c r="B150" i="11"/>
  <c r="B153" i="11" s="1"/>
  <c r="B4" i="11"/>
  <c r="B25" i="8"/>
  <c r="B28" i="8" s="1"/>
  <c r="B4" i="17"/>
  <c r="B111" i="17"/>
  <c r="B117" i="17" s="1"/>
  <c r="B72" i="17"/>
  <c r="B78" i="17" s="1"/>
  <c r="B150" i="17"/>
  <c r="B156" i="17" s="1"/>
  <c r="B27" i="17"/>
  <c r="B29" i="17" s="1"/>
  <c r="B5" i="11"/>
  <c r="B5" i="17"/>
  <c r="B6" i="11"/>
  <c r="B7" i="11" s="1"/>
  <c r="B99" i="17"/>
  <c r="B60" i="17"/>
  <c r="B61" i="17" s="1"/>
  <c r="B138" i="17"/>
  <c r="B139" i="17" s="1"/>
  <c r="B103" i="11"/>
  <c r="B104" i="11" s="1"/>
  <c r="B87" i="17"/>
  <c r="B71" i="11"/>
  <c r="B72" i="11" s="1"/>
  <c r="B126" i="17"/>
  <c r="B165" i="17"/>
  <c r="B162" i="17"/>
  <c r="B99" i="11"/>
  <c r="B101" i="11" s="1"/>
  <c r="B84" i="17"/>
  <c r="B123" i="17"/>
  <c r="B145" i="17"/>
  <c r="B147" i="17" s="1"/>
  <c r="B67" i="17"/>
  <c r="B69" i="17" s="1"/>
  <c r="B106" i="17"/>
  <c r="B108" i="17" s="1"/>
  <c r="B123" i="11"/>
  <c r="B125" i="11" s="1"/>
  <c r="B52" i="8"/>
  <c r="B192" i="17"/>
  <c r="B195" i="17" s="1"/>
  <c r="B151" i="11"/>
  <c r="B154" i="11" s="1"/>
  <c r="B191" i="17"/>
  <c r="B194" i="17" s="1"/>
  <c r="B48" i="17"/>
  <c r="B44" i="17"/>
  <c r="B149" i="11"/>
  <c r="B152" i="11" s="1"/>
  <c r="B190" i="17"/>
  <c r="B193" i="17" s="1"/>
  <c r="B146" i="11"/>
  <c r="B147" i="11" s="1"/>
  <c r="B187" i="17"/>
  <c r="B47" i="8"/>
  <c r="B21" i="8"/>
  <c r="B184" i="17"/>
  <c r="B186" i="17" s="1"/>
  <c r="B44" i="8"/>
  <c r="B46" i="8" s="1"/>
  <c r="B18" i="8"/>
  <c r="B20" i="8" s="1"/>
  <c r="B59" i="11"/>
  <c r="B61" i="11" s="1"/>
  <c r="B52" i="11"/>
  <c r="B53" i="11" s="1"/>
  <c r="B20" i="17"/>
  <c r="B21" i="17" s="1"/>
  <c r="B6" i="17"/>
  <c r="B24" i="8"/>
  <c r="B27" i="8" s="1"/>
  <c r="B50" i="8"/>
  <c r="B27" i="11"/>
  <c r="B29" i="11" s="1"/>
  <c r="B91" i="11"/>
  <c r="B116" i="11"/>
  <c r="B84" i="11"/>
  <c r="B20" i="11"/>
  <c r="B21" i="11" s="1"/>
  <c r="B30" i="8"/>
  <c r="B31" i="8" s="1"/>
  <c r="B56" i="8"/>
  <c r="B51" i="8"/>
  <c r="B26" i="8"/>
  <c r="B29" i="8" s="1"/>
  <c r="B118" i="17" l="1"/>
  <c r="B79" i="17"/>
  <c r="B16" i="17"/>
  <c r="B49" i="17"/>
  <c r="B188" i="17"/>
  <c r="B202" i="17" s="1"/>
  <c r="B157" i="11"/>
  <c r="B161" i="11" s="1"/>
  <c r="B8" i="17"/>
  <c r="B7" i="17"/>
  <c r="B105" i="11"/>
  <c r="B73" i="11"/>
  <c r="B88" i="17"/>
  <c r="B89" i="17" s="1"/>
  <c r="B127" i="17"/>
  <c r="B166" i="17"/>
  <c r="B8" i="11"/>
  <c r="B198" i="17"/>
  <c r="B48" i="8"/>
  <c r="B32" i="8"/>
  <c r="B111" i="11"/>
  <c r="B117" i="11"/>
  <c r="B85" i="11"/>
  <c r="B128" i="17" l="1"/>
  <c r="B50" i="17"/>
  <c r="B9" i="17"/>
  <c r="B9" i="11"/>
  <c r="B12" i="8"/>
  <c r="B13" i="8" s="1"/>
  <c r="D114" i="11"/>
  <c r="B112" i="11"/>
  <c r="B126" i="11" s="1"/>
  <c r="D108" i="11"/>
  <c r="C96" i="11"/>
  <c r="D96" i="11" s="1"/>
  <c r="D76" i="11"/>
  <c r="B80" i="11"/>
  <c r="B40" i="11"/>
  <c r="B41" i="11" s="1"/>
  <c r="B57" i="8"/>
  <c r="B53" i="8"/>
  <c r="B38" i="8"/>
  <c r="B39" i="8" s="1"/>
  <c r="B168" i="17" l="1"/>
  <c r="B55" i="8"/>
  <c r="B79" i="11"/>
  <c r="B54" i="8"/>
  <c r="D90" i="11"/>
  <c r="B93" i="11"/>
  <c r="B94" i="11" s="1"/>
  <c r="B106" i="11" s="1"/>
  <c r="B127" i="11" s="1"/>
  <c r="B166" i="11" s="1"/>
  <c r="D82" i="11"/>
  <c r="C64" i="11"/>
  <c r="D32" i="11"/>
  <c r="D26" i="11"/>
  <c r="D18" i="11"/>
  <c r="B15" i="11"/>
  <c r="B16" i="11" s="1"/>
  <c r="B30" i="11" s="1"/>
  <c r="B42" i="11" s="1"/>
  <c r="D11" i="11"/>
  <c r="B12" i="22" l="1"/>
  <c r="B58" i="8"/>
  <c r="D64" i="11"/>
  <c r="D127" i="11" s="1"/>
  <c r="C127" i="11"/>
  <c r="B59" i="8" l="1"/>
  <c r="B22" i="8"/>
  <c r="B33" i="8" l="1"/>
  <c r="B60" i="8" s="1"/>
  <c r="B11" i="22" l="1"/>
  <c r="B13" i="22" l="1"/>
</calcChain>
</file>

<file path=xl/sharedStrings.xml><?xml version="1.0" encoding="utf-8"?>
<sst xmlns="http://schemas.openxmlformats.org/spreadsheetml/2006/main" count="965" uniqueCount="288">
  <si>
    <t>MONTHS</t>
  </si>
  <si>
    <t>YEARS</t>
  </si>
  <si>
    <t xml:space="preserve">MONTHS </t>
  </si>
  <si>
    <t>RANDS</t>
  </si>
  <si>
    <t xml:space="preserve">GENOMIC SELECTION BREEDING STRATEGY FOR EUCALYPTUS GRANDIS </t>
  </si>
  <si>
    <t xml:space="preserve">Cost of genotyping </t>
  </si>
  <si>
    <t xml:space="preserve">Sowing - seedling production cost </t>
  </si>
  <si>
    <t xml:space="preserve">Number seedlings produced for trial </t>
  </si>
  <si>
    <t xml:space="preserve">Number of trial sites </t>
  </si>
  <si>
    <t>Number seedlings produced for SNP genotyping</t>
  </si>
  <si>
    <t xml:space="preserve">Number of replication per trial site </t>
  </si>
  <si>
    <t>Total number of seedlings planted across the 3 trial sites</t>
  </si>
  <si>
    <t xml:space="preserve">Blanking cost per seedling </t>
  </si>
  <si>
    <t>Total cost of blanking across all sites</t>
  </si>
  <si>
    <t>Survival assessment cost per tree at year 1</t>
  </si>
  <si>
    <t xml:space="preserve">TOTAL COST OF PHENOTYPIC BLUP-BASED BREEDING STRATEGY OVER 17 YEARS </t>
  </si>
  <si>
    <t xml:space="preserve">SNP genotyping cost and processing </t>
  </si>
  <si>
    <t>Total number of trees in the PO</t>
  </si>
  <si>
    <t xml:space="preserve">Total number of CP families produced </t>
  </si>
  <si>
    <t>GS MODEL A UPDATE FROM 1500 CP 3RD GEBV PREDICTED SEEDLINGS</t>
  </si>
  <si>
    <t xml:space="preserve">CLONAL TRIAL ESTABLISHMENT </t>
  </si>
  <si>
    <t xml:space="preserve">CLONAL TRIAL ASSESSMENT </t>
  </si>
  <si>
    <t>GS MODEL A + B DEVELOPMENT</t>
  </si>
  <si>
    <t xml:space="preserve">Consolidation of phenotypic data with genotypic data </t>
  </si>
  <si>
    <t xml:space="preserve"> Model cross - validation analysis </t>
  </si>
  <si>
    <t>Years</t>
  </si>
  <si>
    <t xml:space="preserve">GS Model A+B update -  clonal trial </t>
  </si>
  <si>
    <t>NURSERY SOWING (2ND GENERATION - 300 FAMILIES)</t>
  </si>
  <si>
    <t xml:space="preserve">Total nursery sowing cost to produce seedlings for trial </t>
  </si>
  <si>
    <t>Total trial estalishment cost</t>
  </si>
  <si>
    <t>Growth assessment cost per tree at year 7</t>
  </si>
  <si>
    <t xml:space="preserve">Wood quality assessment cost per tree at year 7 </t>
  </si>
  <si>
    <t xml:space="preserve">Total cost survival assessment </t>
  </si>
  <si>
    <t>Total cost wood quality quality assessement</t>
  </si>
  <si>
    <t>Total cost growth assessement</t>
  </si>
  <si>
    <t>Number of families (open pollinated (OP) seeds)</t>
  </si>
  <si>
    <t>Trial establisment cost per seedling (site preparation + Fertiliser + Labeling)</t>
  </si>
  <si>
    <t>Total cost (assessments and seed collection at  year 8)</t>
  </si>
  <si>
    <t xml:space="preserve">TOTAL COST OF TRADITIONAL PROGENY TEST BREEDING STRATEGY OVER 17 YEARS </t>
  </si>
  <si>
    <t>GEBV selections (GS model A)</t>
  </si>
  <si>
    <t xml:space="preserve">Ramet number per GEBV selections </t>
  </si>
  <si>
    <t>Establishment cost per ramet</t>
  </si>
  <si>
    <t xml:space="preserve">CP production cost per family </t>
  </si>
  <si>
    <t xml:space="preserve">Total PO establishment and CP production cost </t>
  </si>
  <si>
    <t>Production cost (Seed sowing)</t>
  </si>
  <si>
    <t xml:space="preserve">ESTABLISH 3RD GENERATION POTTED ORCHARD (PO) FOR FLOWER INDUCTION </t>
  </si>
  <si>
    <t xml:space="preserve">ESTABLISH 4TH GENERATION POTTED ORCHARD (PO) FOR FLOWER INDUCTION </t>
  </si>
  <si>
    <t>NURSERY SOWING (5TH GENERATION - 150 CP FAMILIES)</t>
  </si>
  <si>
    <t>GEBV PREDICTION  OF 5TH GENNERATION CP SEEDLINGS (GS MODEL A+B)</t>
  </si>
  <si>
    <t>GEBV PREDICTION  OF 4TH GENNERATION CP SEEDLINGS (GS MODEL A)</t>
  </si>
  <si>
    <t xml:space="preserve">Total cost of genotyping </t>
  </si>
  <si>
    <t xml:space="preserve">Total cost for phenotyping </t>
  </si>
  <si>
    <t>Cuttings production cost (GEBV selections into clonal hedges)</t>
  </si>
  <si>
    <t>Total cost (OP seed collection - forward selections)</t>
  </si>
  <si>
    <t>Tree felling and OP seed collection cost per tree (Forward seelctions)</t>
  </si>
  <si>
    <t>TOTAL COST OF GS BREEDIGN STRATEGY + GS MODEL A+B OVER 17 YEARS</t>
  </si>
  <si>
    <t>GS MODEL A - TRAINING (1ST GENERATION)</t>
  </si>
  <si>
    <t>GS MODEL A+B TRAINING (3RD GENETRATION)</t>
  </si>
  <si>
    <t xml:space="preserve">NURSERY CUTTINGS  </t>
  </si>
  <si>
    <t>2nd Generation trial - breeding cycle 1</t>
  </si>
  <si>
    <t xml:space="preserve">Trait assessment - Growth &amp; wood quality </t>
  </si>
  <si>
    <t>3rd Generation trial - breeding cycle 2</t>
  </si>
  <si>
    <t>1st Generation - Progeny trial</t>
  </si>
  <si>
    <t>Trial establishment - 3 sites with 3 reps</t>
  </si>
  <si>
    <t xml:space="preserve">Trait phenotyping - Growth &amp; wood quality </t>
  </si>
  <si>
    <t>4th Generation trial - breeding cycle 3</t>
  </si>
  <si>
    <t>5th Generation trial - breeding cycle 4</t>
  </si>
  <si>
    <t>GS breeding strategy costs and duration</t>
  </si>
  <si>
    <t>ESTABLISH 2ND GENERATION POTTED ORCHARD (PO) FOR FLOWER INDUCTION AND CONTROL POLLINATION (CP)</t>
  </si>
  <si>
    <t>Total genotyping cost</t>
  </si>
  <si>
    <t xml:space="preserve">Total operation steps </t>
  </si>
  <si>
    <t>Rands</t>
  </si>
  <si>
    <t xml:space="preserve">Cost of genotyping per samples </t>
  </si>
  <si>
    <t xml:space="preserve">Growth assessment cost per tree </t>
  </si>
  <si>
    <t xml:space="preserve">Production cost per seedling </t>
  </si>
  <si>
    <t xml:space="preserve">Proportion of operational breeding steps </t>
  </si>
  <si>
    <t xml:space="preserve">Proportion of genotyping cost </t>
  </si>
  <si>
    <t xml:space="preserve">Dollas </t>
  </si>
  <si>
    <t>Cost ratio: GS vs TB</t>
  </si>
  <si>
    <t xml:space="preserve">TRADITIONAL BREEDING STRATEGY FOR EUCALYPTUS GRANDIS </t>
  </si>
  <si>
    <t>Sheet A</t>
  </si>
  <si>
    <t>Appendix A</t>
  </si>
  <si>
    <t>Sheet B</t>
  </si>
  <si>
    <t>Sheet C</t>
  </si>
  <si>
    <t>Sheet D</t>
  </si>
  <si>
    <t xml:space="preserve">Trial establishment cost per plant (Site preparation + Fertiliser + Labeling) </t>
  </si>
  <si>
    <t>Wood quality assessment cost per tree (Resito + Swarf + NIR)</t>
  </si>
  <si>
    <t>NURSERY SOWING (3RD GENERATION - 100 FAMILIES)</t>
  </si>
  <si>
    <t>GEBV PREDICTION  OF 3RD GENNERATION OP SEEDLINGS (GS MODEL A)</t>
  </si>
  <si>
    <t>NURSERY CUTTINGS ESTABLISH A RCH  (TOP 100 3RD GENERATION GEBV SELECTIONS)</t>
  </si>
  <si>
    <t>NURSERY SOWING (4TH GENERATION - 100 CP FAMILIES)</t>
  </si>
  <si>
    <t>NURSERY CUTTINGS  ESTABLISH A RCH (TOP 100 4TH GENERATION GEBV SELECTIONS)</t>
  </si>
  <si>
    <t xml:space="preserve">NURSERY - ESTABLISH SIGNLE SEEDLING RCH  (2ND GENERATION 100 SELECTIONS) </t>
  </si>
  <si>
    <t>Cuttings production cost</t>
  </si>
  <si>
    <t>Total production cost (5 ramets per single seedling hedge)</t>
  </si>
  <si>
    <t>Number of cuttings generated from the sigle seedling hedge</t>
  </si>
  <si>
    <t>Total production cost (5 ramets per clonal hedge)</t>
  </si>
  <si>
    <t xml:space="preserve">Total number of SNPed sellection to include in clonal trials </t>
  </si>
  <si>
    <t xml:space="preserve">NURSERY - ESTABLISH SIGNLE SEEDLING RCH  (3RD GENERATION 100 SELECTIONS) </t>
  </si>
  <si>
    <t>GEBV PREDICTION  OF 4TH GENNERATION OP SEEDLINGS (GS MODEL A)</t>
  </si>
  <si>
    <t xml:space="preserve">NURSERY - ESTABLISH SIGNLE SEEDLING RCH  (4TH GENERATION 100 SELECTIONS) </t>
  </si>
  <si>
    <t>ESTABLISH 4TH GENERATION POTTED ORCHARD (PO) FOR FLOWER INDUCTION AND CONTROL POLLINATION (CP)</t>
  </si>
  <si>
    <t>ESTABLISH 3RD GENERATION POTTED ORCHARD (PO) FOR FLOWER INDUCTION AND CONTROL POLLINATION (CP)</t>
  </si>
  <si>
    <t>GEBV PREDICTION  OF 5TH GENNERATION OP SEEDLINGS (GS MODEL A)</t>
  </si>
  <si>
    <t xml:space="preserve">NURSERY - ESTABLISH SIGNLE SEEDLING RCH  (5TH GENERATION 100 SELECTIONS) </t>
  </si>
  <si>
    <t>ESTABLISH 5TH GENERATION POTTED ORCHARD (PO) FOR FLOWER INDUCTION AND CONTROL POLLINATION (CP)</t>
  </si>
  <si>
    <t>Number of families to predict with GS models A</t>
  </si>
  <si>
    <t xml:space="preserve">Total cost for SNP genotyping for GS models A GEBV prediction </t>
  </si>
  <si>
    <t xml:space="preserve">Top 100 GEBV individuals  selected using GEBV </t>
  </si>
  <si>
    <t>Trials survival and status assessment cost per tree</t>
  </si>
  <si>
    <t xml:space="preserve">Tree felling cost per tree (OP seed collection or stump coppicing) </t>
  </si>
  <si>
    <t>Blanking cost per seedling or cutting</t>
  </si>
  <si>
    <t xml:space="preserve">CSO establishment cost per selection </t>
  </si>
  <si>
    <t>COST OF GS MODEL A TRAININING AND 100 GEBV SELECTIONS</t>
  </si>
  <si>
    <t>NURSERY CUTTINGS  ESTABLISH A RCH (TOP 100 2ND GENERATION GEBV SELECTIONS)</t>
  </si>
  <si>
    <t xml:space="preserve">COST OF ESTABLISHING 2ND CLONAL POTTED SEED ORCHARD GEBV SELECTED TREES </t>
  </si>
  <si>
    <t xml:space="preserve">COST OF ESTABLISHING 3RD CLONAL POTTED SEED ORCHARD GEBV SELECTED TREES </t>
  </si>
  <si>
    <t xml:space="preserve">COST OF ESTABLISHING 4TH CLONAL POTTED SEED ORCHARD GEBV SELECTED TREES </t>
  </si>
  <si>
    <t xml:space="preserve">COST OF ESTABLISHING 5TH CLONAL POTTED SEED ORCHARD GEBV SELECTED TREES </t>
  </si>
  <si>
    <t>Nursery - Sowing of 100 OP families</t>
  </si>
  <si>
    <t xml:space="preserve">TRIAL ASSESSMENT (2ND GENERATION PROGENY TESTING - 100 FAMILIES) </t>
  </si>
  <si>
    <t xml:space="preserve">TRIAL ESTABLISHMENT (3RD GENERATION PROGENY TESTING - 100 FAMILIES) </t>
  </si>
  <si>
    <t xml:space="preserve">TRIAL ASSESSMENT (3ND GENERATION PROGENY TESTING - 100 FAMILIES) </t>
  </si>
  <si>
    <t>Total cost (OP seed collection - 100 forward selections)</t>
  </si>
  <si>
    <t xml:space="preserve">TRIAL ESTABLISHMENT (2ND GENERATION PROGENY TESTING - 100 FAMILIES) </t>
  </si>
  <si>
    <t>NURSERY SOWING (2ND GENERATION - 100 FAMILIES)</t>
  </si>
  <si>
    <t>TRIAL ESTABLISHMENT, ASSESSEMENT AND OP SEED COLLECTION OF 100 2ND GEN FAMILIES</t>
  </si>
  <si>
    <t>TRIAL ESTABLISHMENT, ASSESSEMENT AND OP SEED COLLECTION OF 100 3RD GEN FAMILIES</t>
  </si>
  <si>
    <t xml:space="preserve">Number seedlings to per family  predict with GS models A </t>
  </si>
  <si>
    <t>GS model A - prediction (20 seedlings per families)</t>
  </si>
  <si>
    <t>Make 5 ramets each from top 100 GEBV selections in RCH</t>
  </si>
  <si>
    <t xml:space="preserve">Total CP per family production cost </t>
  </si>
  <si>
    <t xml:space="preserve">Nursery - cuttings of 4000 CP clones </t>
  </si>
  <si>
    <t>NURSERY CUTTINGS  ESTABLISH A RCH (TOP 100 5TH GENERATION GEBV SELECTIONS)</t>
  </si>
  <si>
    <t>Cost ratio: GS (FT-OX) vs GS</t>
  </si>
  <si>
    <t>Cost ratio: GS (FT-OX) vs TB</t>
  </si>
  <si>
    <t xml:space="preserve">Simulated costing units </t>
  </si>
  <si>
    <t>Number of families (open pollinated seeds)</t>
  </si>
  <si>
    <t xml:space="preserve">Number of seedling to blank across all trial sites (5%) </t>
  </si>
  <si>
    <t xml:space="preserve">Number of seedlings selected from the 300 families (15/family across at 5 per family at the 3 sites) </t>
  </si>
  <si>
    <t xml:space="preserve">Total establishment of PO and management over 4 years </t>
  </si>
  <si>
    <t xml:space="preserve">Sowing -  seedling production cost </t>
  </si>
  <si>
    <t xml:space="preserve">Total nursery sowing cost to produce CP seedlings for GS model A prediction  </t>
  </si>
  <si>
    <t>Manamgement and flower induction per ramet (Until reproductive maturity = 4 years)</t>
  </si>
  <si>
    <t>2nd GEN</t>
  </si>
  <si>
    <t>3rd GEN</t>
  </si>
  <si>
    <t>4th GEN</t>
  </si>
  <si>
    <t xml:space="preserve">Number of 3rd generation CP families  produced </t>
  </si>
  <si>
    <t>Number of 3rd generation CP families to predict with GS models A</t>
  </si>
  <si>
    <t xml:space="preserve">Number of 4th generation CP families  produced </t>
  </si>
  <si>
    <t xml:space="preserve">Number of 5th generation CP families  produced </t>
  </si>
  <si>
    <t>5th GEN</t>
  </si>
  <si>
    <t xml:space="preserve">Number of seedling to blank at 1 month across all trial sites (5%) </t>
  </si>
  <si>
    <t>1st GEN   GS model A</t>
  </si>
  <si>
    <t>1st GEN GS model A</t>
  </si>
  <si>
    <t>2rd GEN GS model B</t>
  </si>
  <si>
    <t>3rd GEN GS model B</t>
  </si>
  <si>
    <t xml:space="preserve">Total nursery sowing cost to produce seedlings </t>
  </si>
  <si>
    <t>GEBV PREDICTION  OF 2ND GENERATION OP SEEDLINGS (GS MODEL A)</t>
  </si>
  <si>
    <t>Number of 2nd Gen  top 100 GEBV selected individuals</t>
  </si>
  <si>
    <t xml:space="preserve">Number of trangenic scion per GEBV rootstock. </t>
  </si>
  <si>
    <t xml:space="preserve">Total cost of pre-caring for GEBV rootstock before grafting </t>
  </si>
  <si>
    <t>Total cost of post-caring for FT-OX transgraft (GM scion)</t>
  </si>
  <si>
    <t>Total cost making available 200 FT-OX scion (In house produced and developed)</t>
  </si>
  <si>
    <t>Total cost of micro-grafting of 200 trangenic scion scions</t>
  </si>
  <si>
    <t xml:space="preserve">Total cost of producing 200 transgrafts </t>
  </si>
  <si>
    <t>Total potting cost of GEBV selected rootstock</t>
  </si>
  <si>
    <t>NURSERY SOWING (5TH GENERATION - 100 FAMILIES)</t>
  </si>
  <si>
    <t>NURSERY SOWING (4TH GENERATION - 100 FAMILIES)</t>
  </si>
  <si>
    <t xml:space="preserve">Phenotyping (Growth + WQ) - 3000 trees </t>
  </si>
  <si>
    <t xml:space="preserve">Field </t>
  </si>
  <si>
    <t>Nursery</t>
  </si>
  <si>
    <t xml:space="preserve">Cost of FT-OX scion (Developed inhouse - not purchase and licencing fee) </t>
  </si>
  <si>
    <t xml:space="preserve">Tree climbing and production cost  for 1x macro-graft  from selected tree canopy </t>
  </si>
  <si>
    <t>Production cost for 1x micro-graft from selected coppice or sandbed hedges</t>
  </si>
  <si>
    <t xml:space="preserve">Post-caring of normal grafted selection </t>
  </si>
  <si>
    <t xml:space="preserve">Post-caring of transgrafts with FT-OX scion </t>
  </si>
  <si>
    <t>Cuttings and seedling propagation</t>
  </si>
  <si>
    <t>Grafting and transgrafting propagation</t>
  </si>
  <si>
    <t>Genotyping cost (Euc72K SNP chip)</t>
  </si>
  <si>
    <t>Potted orchard not GM certified</t>
  </si>
  <si>
    <t>Potted orchard that is GM certified</t>
  </si>
  <si>
    <t xml:space="preserve">Establishment cost per selection ramet </t>
  </si>
  <si>
    <t>Management cost and flower induction per ramet (per tree per year)</t>
  </si>
  <si>
    <r>
      <t xml:space="preserve">Establishment cost per selection ramet with </t>
    </r>
    <r>
      <rPr>
        <i/>
        <sz val="11"/>
        <color theme="1"/>
        <rFont val="Calibri"/>
        <family val="2"/>
        <scheme val="minor"/>
      </rPr>
      <t>FT</t>
    </r>
    <r>
      <rPr>
        <sz val="11"/>
        <color theme="1"/>
        <rFont val="Calibri"/>
        <family val="2"/>
        <scheme val="minor"/>
      </rPr>
      <t>-OX scion</t>
    </r>
  </si>
  <si>
    <t>Management cost and flower induction per transgraft ramet (per tree per year)</t>
  </si>
  <si>
    <t xml:space="preserve">Control cross production cost per control pollianted family </t>
  </si>
  <si>
    <t xml:space="preserve">Clonal seed orchard (CSO) in field </t>
  </si>
  <si>
    <t>CSO management costs to accelerate flowering (per year per tree)</t>
  </si>
  <si>
    <t xml:space="preserve">Production cost per cutting from coppicing stump </t>
  </si>
  <si>
    <t xml:space="preserve">Trial establishment </t>
  </si>
  <si>
    <t xml:space="preserve">Growth and WQ assesment </t>
  </si>
  <si>
    <t xml:space="preserve">Control cross production cost per control pollinated family </t>
  </si>
  <si>
    <t xml:space="preserve">Pre-caring of roostock intended for grafting  and transgrafts </t>
  </si>
  <si>
    <t>USD</t>
  </si>
  <si>
    <t>Traditional breeding strategy costs and duration</t>
  </si>
  <si>
    <t xml:space="preserve">Genotyping (Euc72K SNIP Chip) - 3000 trees </t>
  </si>
  <si>
    <t>Potted orchard - Flower induction (Fertilizer + Chemical) to make 100 CP families</t>
  </si>
  <si>
    <r>
      <t xml:space="preserve">Total number of seedlings with GEBV, including top 100 </t>
    </r>
    <r>
      <rPr>
        <b/>
        <sz val="11"/>
        <color rgb="FF0000FF"/>
        <rFont val="Calibri"/>
        <family val="2"/>
        <scheme val="minor"/>
      </rPr>
      <t>(To be plant in a macro hedge)</t>
    </r>
  </si>
  <si>
    <t>Number of seedlings to produce per family (45 for trial + 15 for blanking)</t>
  </si>
  <si>
    <t>Trial establisment cost per seedling (Site preparation + Fertiliser + Labeling)</t>
  </si>
  <si>
    <t>Tree felling and OP seed collection cost per tree top 100 selections</t>
  </si>
  <si>
    <t xml:space="preserve">Felling cost of the GEBV selections to collect OP seed </t>
  </si>
  <si>
    <t>Number of GEBV selections to provide the 100 forward selection families</t>
  </si>
  <si>
    <t>Number of seedlings to produce per GEBV forward selected families</t>
  </si>
  <si>
    <t>Total number seedlings produced for SNP genotyping</t>
  </si>
  <si>
    <r>
      <t xml:space="preserve">Establish cost and maitainance of maro hedge </t>
    </r>
    <r>
      <rPr>
        <b/>
        <sz val="11"/>
        <color rgb="FF0000FF"/>
        <rFont val="Calibri"/>
        <family val="2"/>
        <scheme val="minor"/>
      </rPr>
      <t>(To produce GS model B clonal trials)</t>
    </r>
  </si>
  <si>
    <t>Number of cuttings generated from the single seedling hedge</t>
  </si>
  <si>
    <t xml:space="preserve">Number of CP seedlings to produce per 3rd Gen GEBV families </t>
  </si>
  <si>
    <t xml:space="preserve">Number seedlings to predict with GS models A  per family  </t>
  </si>
  <si>
    <r>
      <t xml:space="preserve">Total number of seedlings with GEBV, including top 100 </t>
    </r>
    <r>
      <rPr>
        <b/>
        <sz val="11"/>
        <color rgb="FF0000FF"/>
        <rFont val="Calibri"/>
        <family val="2"/>
        <scheme val="minor"/>
      </rPr>
      <t xml:space="preserve"> (To be plant in a macro hedge)</t>
    </r>
  </si>
  <si>
    <t xml:space="preserve">Number of CP seedlings to produce per 4th Gen GEBV families </t>
  </si>
  <si>
    <t xml:space="preserve">Number of CP seedlings to produce per 5th GenGEBV families </t>
  </si>
  <si>
    <t>Number of 2nd Gen GEBV selections planted macro hedge for GS model B training</t>
  </si>
  <si>
    <t xml:space="preserve">Number of 3rd Gen GENV selections in macro hedge GS model B training </t>
  </si>
  <si>
    <t xml:space="preserve">Number cuttigns produced for  the GS model B training trial </t>
  </si>
  <si>
    <t>Total nursery cost to produce cuttings for 3x clonal trials for GS model B training</t>
  </si>
  <si>
    <t>Number oftrees per site</t>
  </si>
  <si>
    <t xml:space="preserve">Total cost wood quality quality assessement (3 ramtes per clone per site =  9 trees total) </t>
  </si>
  <si>
    <t xml:space="preserve">Total cost of assessment (WQ and Growth) </t>
  </si>
  <si>
    <t>Total cost making available 500 FT-OX scion (In house produced and developed)</t>
  </si>
  <si>
    <t>Total cost of micro-grafting of 500 trangenic scion scions</t>
  </si>
  <si>
    <t xml:space="preserve">Total cost of producing 500 transgrafts and post caring </t>
  </si>
  <si>
    <t>Manamgement and flower induction per ramet (Until reproductive maturity = 2.5 years) in a GM certified facility</t>
  </si>
  <si>
    <t>Number of 3rd Gen  top 100 GEBV selected individuals</t>
  </si>
  <si>
    <t>Ramet number per GEBV selections (Pot 5 of the 5 generated from the single seedling hedge)</t>
  </si>
  <si>
    <r>
      <t xml:space="preserve">Establish cost and maitainance of maro hedge </t>
    </r>
    <r>
      <rPr>
        <b/>
        <sz val="11"/>
        <color rgb="FF0000FF"/>
        <rFont val="Calibri"/>
        <family val="2"/>
        <scheme val="minor"/>
      </rPr>
      <t>(To produce GS model C clonal trials)</t>
    </r>
  </si>
  <si>
    <r>
      <t xml:space="preserve">Total number of seedlings with GEBV, including top 100 </t>
    </r>
    <r>
      <rPr>
        <b/>
        <sz val="11"/>
        <color rgb="FF0000FF"/>
        <rFont val="Calibri"/>
        <family val="2"/>
        <scheme val="minor"/>
      </rPr>
      <t xml:space="preserve"> (To be plant in a macro hedge for GS model B tranining)</t>
    </r>
  </si>
  <si>
    <r>
      <t xml:space="preserve">Total number of seedlings with GEBV, including top 100 </t>
    </r>
    <r>
      <rPr>
        <b/>
        <sz val="11"/>
        <color rgb="FF0000FF"/>
        <rFont val="Calibri"/>
        <family val="2"/>
        <scheme val="minor"/>
      </rPr>
      <t>(To be plant in a macro hedge for GS model C training)</t>
    </r>
  </si>
  <si>
    <t>Number of 4th Gen  top 100 GEBV selected individuals</t>
  </si>
  <si>
    <t>Ramet number per GEBV selections (Pot 5 of the 5 cuttings)</t>
  </si>
  <si>
    <t>Establishment cost per ramet (5x ramets)</t>
  </si>
  <si>
    <t xml:space="preserve">Production cost (macro hedges) </t>
  </si>
  <si>
    <t>Production cost per cutting (from macro hedges)</t>
  </si>
  <si>
    <t>Number of families to predict with GS models A+B</t>
  </si>
  <si>
    <t>Number seedlings to per family  predict with GS models A+B</t>
  </si>
  <si>
    <t>GEBV selections (GS model A+B)</t>
  </si>
  <si>
    <t>Number of cutting per clones (9 ramets + 6 blanks = 15 trees per clones )  for 3x trials (3 reps of 3 line plots trial config)</t>
  </si>
  <si>
    <t>Trial establishment - 3 site 15 reps singel tree plot</t>
  </si>
  <si>
    <t xml:space="preserve">1st Generation progeny trial - GS model A training </t>
  </si>
  <si>
    <t>2nd Generation seedlings  - breeding cycle 1</t>
  </si>
  <si>
    <t>3rd Generation seedlings - breeding cycle 2</t>
  </si>
  <si>
    <t>Felling of selection to collect seed and sowing of OP seed from 100 GEBV selections</t>
  </si>
  <si>
    <t xml:space="preserve">Sowing of CP seed from 100 CP families </t>
  </si>
  <si>
    <t>Establish and maitainance of 2000 GEBV seedlings into macro hedges (GS model A+B)</t>
  </si>
  <si>
    <t>Establish and maitainance of 2000 GEBV seedlings into macro hedges (GS model A+B+C)</t>
  </si>
  <si>
    <t>GS model A+B - prediction (20 seedlings per families)</t>
  </si>
  <si>
    <t>1st Generation progeny trial - GS model A training</t>
  </si>
  <si>
    <t>Establish 2000 of the GEBV predited seedling into macro hedge (GS model A+B)</t>
  </si>
  <si>
    <t>Make 5 ramets each from top 100 GEBV selections from macro hedge</t>
  </si>
  <si>
    <t xml:space="preserve">Potted orchard - Flower induction of 500 trasgraft and produce 100 CP families </t>
  </si>
  <si>
    <t>Micro-transgrafting of 500 GEBV cuttings (100x5 ramets) in pots to graft 2x FT-OX scion on each</t>
  </si>
  <si>
    <t>Macro hedge establishement cost of GEBV predicted seedlings but not selected</t>
  </si>
  <si>
    <t>Establish 2000 of the GEBV predited seedling into macro hedge (GS model A+B+C)</t>
  </si>
  <si>
    <t>GS MODEL A+B TRAINING (2ND AND 3RD GENETRATION)</t>
  </si>
  <si>
    <t xml:space="preserve">Growth and WQ 100 forward selections from 300 families </t>
  </si>
  <si>
    <t>Sowing of CP seed from 100 selections</t>
  </si>
  <si>
    <t xml:space="preserve">Total cost for phenotyping and BLUP analysis </t>
  </si>
  <si>
    <t xml:space="preserve">1st GEN   </t>
  </si>
  <si>
    <t>PROGENY TRIALS 300 FAMILIES (1ST GENERATION)</t>
  </si>
  <si>
    <t>Total cost of micro-grafting of 500 trangenic scions</t>
  </si>
  <si>
    <t>Total cost of managing 500 grafts in potted orchard for 2.5 years untill harvesting of CP seed</t>
  </si>
  <si>
    <t xml:space="preserve">E. grandis </t>
  </si>
  <si>
    <t>Traditional breeding strategy  (TB)</t>
  </si>
  <si>
    <t>Genomic selection breeding strategy  (GS)</t>
  </si>
  <si>
    <t xml:space="preserve">Operational expenses </t>
  </si>
  <si>
    <t xml:space="preserve">Genotyping expenses </t>
  </si>
  <si>
    <t>Genomic selection with FT-OX scion transgrafting  (GS-FT)</t>
  </si>
  <si>
    <r>
      <t xml:space="preserve">Cost ratio: </t>
    </r>
    <r>
      <rPr>
        <b/>
        <sz val="11"/>
        <color theme="1"/>
        <rFont val="Times New Roman"/>
        <family val="1"/>
      </rPr>
      <t xml:space="preserve">GS vs TB </t>
    </r>
  </si>
  <si>
    <r>
      <t xml:space="preserve">Cost ratio: </t>
    </r>
    <r>
      <rPr>
        <b/>
        <sz val="11"/>
        <color theme="1"/>
        <rFont val="Times New Roman"/>
        <family val="1"/>
      </rPr>
      <t>GS-FT vs TB</t>
    </r>
  </si>
  <si>
    <r>
      <t xml:space="preserve">Cost ratio: </t>
    </r>
    <r>
      <rPr>
        <b/>
        <sz val="11"/>
        <color theme="1"/>
        <rFont val="Times New Roman"/>
        <family val="1"/>
      </rPr>
      <t>GS-FT vs GS</t>
    </r>
  </si>
  <si>
    <t xml:space="preserve">Genotyping cost reduction </t>
  </si>
  <si>
    <t>Genotyping cost at 100%</t>
  </si>
  <si>
    <t>Genotyping cost at 25%</t>
  </si>
  <si>
    <t>Genotyping cost at 50%</t>
  </si>
  <si>
    <t>Genotyping cost at 75%</t>
  </si>
  <si>
    <t xml:space="preserve">E. grandis traditional breeding strategy  </t>
  </si>
  <si>
    <t xml:space="preserve">E. grandis Genomic selection breeding strategy  </t>
  </si>
  <si>
    <t xml:space="preserve">E. grandis Genomic selection breeding strategy with FT-OX transgrafting  </t>
  </si>
  <si>
    <t xml:space="preserve">The itemized cost of the operation breeding activities involved in the TB, GS  and GS-FT breeding cycles. </t>
  </si>
  <si>
    <t>Sheet E</t>
  </si>
  <si>
    <t xml:space="preserve">Simulated cost analysis report and the cost ratios between TB and GS and GS-FT breeding strategies based on 100%, 75%, 50% and 25% percent of the genotyping cost. </t>
  </si>
  <si>
    <t>Sheet F</t>
  </si>
  <si>
    <t xml:space="preserve">Summary of the simulated cost analysis report and the cost ratios between TB and GS and GS-FT breeding strategies based on 100%, 75%, 50% and 25% percent of the genotyping cost. </t>
  </si>
  <si>
    <t>A detailed description of the cost simulation of the operational TB breeding cycle steps over 18 years.</t>
  </si>
  <si>
    <r>
      <t>E. grandis</t>
    </r>
    <r>
      <rPr>
        <sz val="11"/>
        <color theme="1"/>
        <rFont val="Calibri"/>
        <family val="2"/>
        <scheme val="minor"/>
      </rPr>
      <t>cost modelling simulation of its breeding cycle operational steps. The traditional (TB) operational breeding cycle cost analysis are compared between genomic selection (GS) and accelerated genomic selection with</t>
    </r>
    <r>
      <rPr>
        <i/>
        <sz val="11"/>
        <color theme="1"/>
        <rFont val="Calibri"/>
        <family val="2"/>
        <scheme val="minor"/>
      </rPr>
      <t xml:space="preserve"> Flower Locus T </t>
    </r>
    <r>
      <rPr>
        <sz val="11"/>
        <color theme="1"/>
        <rFont val="Calibri"/>
        <family val="2"/>
        <scheme val="minor"/>
      </rPr>
      <t xml:space="preserve">transgene (GS-FT). The comparison of the breeding cycles is over 18 years. </t>
    </r>
  </si>
  <si>
    <t>A detailed description of the cost simulation of the operational GS breeding cycle steps over 18 years.</t>
  </si>
  <si>
    <t>A detailed description of the cost simulation of the operational GS-FT breeding cycle steps over 18 years.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</si>
</sst>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&quot;R&quot;\ #,##0;[Red]&quot;R&quot;\ \-#,##0"/>
    <numFmt numFmtId="165" formatCode="&quot;R&quot;\ #,##0.00;[Red]&quot;R&quot;\ \-#,##0.00"/>
    <numFmt numFmtId="166" formatCode="_ &quot;R&quot;\ * #,##0.00_ ;_ &quot;R&quot;\ * \-#,##0.00_ ;_ &quot;R&quot;\ * &quot;-&quot;??_ ;_ @_ "/>
    <numFmt numFmtId="167" formatCode="0.0"/>
    <numFmt numFmtId="168" formatCode="&quot;R&quot;\ #,##0.00"/>
    <numFmt numFmtId="169" formatCode="_-[$$-409]* #,##0.00_ ;_-[$$-409]* \-#,##0.00\ ;_-[$$-409]* &quot;-&quot;??_ ;_-@_ "/>
    <numFmt numFmtId="170" formatCode="[$$-409]#,##0.00"/>
    <numFmt numFmtId="171" formatCode="[$$-540A]#,##0.00_ ;[Red]\-[$$-540A]#,##0.00\ "/>
    <numFmt numFmtId="172" formatCode="[$$-409]#,##0.00_ ;[Red]\-[$$-409]#,##0.00\ "/>
    <numFmt numFmtId="173" formatCode="[$$-540A]#,##0.00"/>
    <numFmt numFmtId="174" formatCode="0.000"/>
  </numFmts>
  <fonts count="2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color rgb="FF0000FF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11"/>
      <name val="Times New Roman"/>
      <family val="1"/>
    </font>
    <font>
      <i/>
      <sz val="11"/>
      <name val="Times New Roman"/>
      <family val="1"/>
    </font>
    <font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E958A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2" fillId="0" borderId="0" applyFont="0" applyFill="0" applyBorder="0" applyAlignment="0" applyProtection="0"/>
  </cellStyleXfs>
  <cellXfs count="249">
    <xf numFmtId="0" fontId="0" fillId="0" borderId="0" xfId="0"/>
    <xf numFmtId="0" fontId="1" fillId="0" borderId="0" xfId="0" applyFont="1" applyFill="1"/>
    <xf numFmtId="167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/>
    <xf numFmtId="167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/>
    <xf numFmtId="0" fontId="5" fillId="0" borderId="0" xfId="0" applyFont="1" applyFill="1" applyBorder="1"/>
    <xf numFmtId="0" fontId="5" fillId="0" borderId="0" xfId="0" applyFont="1" applyFill="1" applyAlignment="1">
      <alignment horizontal="right"/>
    </xf>
    <xf numFmtId="0" fontId="5" fillId="0" borderId="0" xfId="0" applyFont="1" applyFill="1" applyBorder="1" applyAlignment="1">
      <alignment horizontal="right"/>
    </xf>
    <xf numFmtId="0" fontId="0" fillId="0" borderId="0" xfId="0" applyFont="1" applyAlignment="1">
      <alignment horizontal="center"/>
    </xf>
    <xf numFmtId="0" fontId="4" fillId="0" borderId="0" xfId="0" applyFont="1"/>
    <xf numFmtId="165" fontId="1" fillId="0" borderId="0" xfId="0" applyNumberFormat="1" applyFont="1" applyFill="1" applyBorder="1"/>
    <xf numFmtId="165" fontId="5" fillId="0" borderId="0" xfId="0" applyNumberFormat="1" applyFont="1" applyFill="1" applyBorder="1"/>
    <xf numFmtId="164" fontId="1" fillId="0" borderId="0" xfId="0" applyNumberFormat="1" applyFont="1" applyFill="1" applyBorder="1"/>
    <xf numFmtId="167" fontId="4" fillId="0" borderId="0" xfId="0" applyNumberFormat="1" applyFont="1" applyAlignment="1">
      <alignment horizontal="center" vertical="center"/>
    </xf>
    <xf numFmtId="167" fontId="0" fillId="0" borderId="0" xfId="0" applyNumberFormat="1" applyFont="1"/>
    <xf numFmtId="0" fontId="4" fillId="8" borderId="0" xfId="0" applyFont="1" applyFill="1"/>
    <xf numFmtId="0" fontId="1" fillId="11" borderId="1" xfId="0" applyFont="1" applyFill="1" applyBorder="1"/>
    <xf numFmtId="0" fontId="1" fillId="11" borderId="2" xfId="0" applyFont="1" applyFill="1" applyBorder="1"/>
    <xf numFmtId="0" fontId="0" fillId="11" borderId="4" xfId="0" applyFont="1" applyFill="1" applyBorder="1"/>
    <xf numFmtId="0" fontId="4" fillId="11" borderId="4" xfId="0" applyFont="1" applyFill="1" applyBorder="1"/>
    <xf numFmtId="0" fontId="4" fillId="11" borderId="6" xfId="0" applyFont="1" applyFill="1" applyBorder="1"/>
    <xf numFmtId="0" fontId="5" fillId="4" borderId="0" xfId="0" applyFont="1" applyFill="1"/>
    <xf numFmtId="0" fontId="1" fillId="7" borderId="1" xfId="0" applyFont="1" applyFill="1" applyBorder="1"/>
    <xf numFmtId="0" fontId="1" fillId="7" borderId="4" xfId="0" applyFont="1" applyFill="1" applyBorder="1"/>
    <xf numFmtId="0" fontId="1" fillId="7" borderId="0" xfId="0" applyFont="1" applyFill="1" applyBorder="1"/>
    <xf numFmtId="0" fontId="5" fillId="7" borderId="6" xfId="0" applyFont="1" applyFill="1" applyBorder="1"/>
    <xf numFmtId="167" fontId="4" fillId="0" borderId="0" xfId="0" applyNumberFormat="1" applyFont="1"/>
    <xf numFmtId="0" fontId="1" fillId="10" borderId="1" xfId="0" applyFont="1" applyFill="1" applyBorder="1"/>
    <xf numFmtId="0" fontId="1" fillId="10" borderId="4" xfId="0" applyFont="1" applyFill="1" applyBorder="1"/>
    <xf numFmtId="0" fontId="1" fillId="10" borderId="0" xfId="0" applyFont="1" applyFill="1" applyBorder="1"/>
    <xf numFmtId="0" fontId="5" fillId="10" borderId="6" xfId="0" applyFont="1" applyFill="1" applyBorder="1"/>
    <xf numFmtId="0" fontId="1" fillId="9" borderId="1" xfId="0" applyFont="1" applyFill="1" applyBorder="1"/>
    <xf numFmtId="0" fontId="1" fillId="9" borderId="2" xfId="0" applyFont="1" applyFill="1" applyBorder="1"/>
    <xf numFmtId="0" fontId="1" fillId="9" borderId="4" xfId="0" applyFont="1" applyFill="1" applyBorder="1"/>
    <xf numFmtId="0" fontId="1" fillId="9" borderId="0" xfId="0" applyFont="1" applyFill="1" applyBorder="1"/>
    <xf numFmtId="0" fontId="5" fillId="9" borderId="6" xfId="0" applyFont="1" applyFill="1" applyBorder="1"/>
    <xf numFmtId="0" fontId="7" fillId="3" borderId="0" xfId="0" applyFont="1" applyFill="1"/>
    <xf numFmtId="167" fontId="6" fillId="0" borderId="0" xfId="0" applyNumberFormat="1" applyFont="1" applyAlignment="1">
      <alignment horizontal="center" vertical="center"/>
    </xf>
    <xf numFmtId="0" fontId="0" fillId="0" borderId="0" xfId="0" applyFont="1" applyAlignment="1"/>
    <xf numFmtId="0" fontId="4" fillId="0" borderId="0" xfId="0" applyFont="1" applyAlignment="1">
      <alignment vertical="center"/>
    </xf>
    <xf numFmtId="167" fontId="4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167" fontId="8" fillId="2" borderId="0" xfId="0" applyNumberFormat="1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 vertical="center"/>
    </xf>
    <xf numFmtId="0" fontId="1" fillId="0" borderId="0" xfId="0" applyFont="1"/>
    <xf numFmtId="0" fontId="3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Fill="1" applyBorder="1"/>
    <xf numFmtId="167" fontId="0" fillId="0" borderId="0" xfId="0" applyNumberFormat="1" applyFont="1" applyFill="1" applyBorder="1"/>
    <xf numFmtId="0" fontId="9" fillId="8" borderId="0" xfId="0" applyFont="1" applyFill="1" applyBorder="1"/>
    <xf numFmtId="0" fontId="0" fillId="0" borderId="0" xfId="0" applyFont="1" applyBorder="1"/>
    <xf numFmtId="167" fontId="0" fillId="0" borderId="0" xfId="0" applyNumberFormat="1" applyFont="1" applyBorder="1"/>
    <xf numFmtId="0" fontId="2" fillId="6" borderId="0" xfId="0" applyFont="1" applyFill="1" applyBorder="1"/>
    <xf numFmtId="0" fontId="10" fillId="6" borderId="0" xfId="0" applyFont="1" applyFill="1" applyBorder="1"/>
    <xf numFmtId="1" fontId="1" fillId="10" borderId="2" xfId="0" applyNumberFormat="1" applyFont="1" applyFill="1" applyBorder="1"/>
    <xf numFmtId="0" fontId="1" fillId="11" borderId="4" xfId="0" applyFont="1" applyFill="1" applyBorder="1"/>
    <xf numFmtId="164" fontId="5" fillId="0" borderId="0" xfId="0" applyNumberFormat="1" applyFont="1" applyFill="1" applyBorder="1"/>
    <xf numFmtId="0" fontId="7" fillId="0" borderId="0" xfId="0" applyFont="1" applyFill="1" applyBorder="1"/>
    <xf numFmtId="164" fontId="7" fillId="0" borderId="0" xfId="0" applyNumberFormat="1" applyFont="1" applyFill="1" applyBorder="1"/>
    <xf numFmtId="167" fontId="6" fillId="0" borderId="0" xfId="0" applyNumberFormat="1" applyFont="1" applyFill="1" applyBorder="1" applyAlignment="1">
      <alignment horizontal="center" vertical="center"/>
    </xf>
    <xf numFmtId="167" fontId="11" fillId="2" borderId="0" xfId="0" applyNumberFormat="1" applyFont="1" applyFill="1" applyAlignment="1">
      <alignment horizontal="left" vertical="center"/>
    </xf>
    <xf numFmtId="0" fontId="12" fillId="0" borderId="0" xfId="0" applyFont="1" applyAlignment="1">
      <alignment vertical="center"/>
    </xf>
    <xf numFmtId="167" fontId="12" fillId="0" borderId="0" xfId="0" applyNumberFormat="1" applyFont="1" applyAlignment="1">
      <alignment vertical="center"/>
    </xf>
    <xf numFmtId="0" fontId="12" fillId="0" borderId="0" xfId="0" applyFont="1"/>
    <xf numFmtId="0" fontId="12" fillId="0" borderId="0" xfId="0" applyFont="1" applyFill="1" applyBorder="1"/>
    <xf numFmtId="167" fontId="12" fillId="0" borderId="0" xfId="0" applyNumberFormat="1" applyFont="1" applyFill="1" applyBorder="1"/>
    <xf numFmtId="0" fontId="1" fillId="0" borderId="0" xfId="0" applyFont="1" applyAlignment="1">
      <alignment horizontal="right"/>
    </xf>
    <xf numFmtId="0" fontId="5" fillId="9" borderId="4" xfId="0" applyFont="1" applyFill="1" applyBorder="1"/>
    <xf numFmtId="0" fontId="13" fillId="0" borderId="0" xfId="0" applyFont="1" applyFill="1" applyBorder="1"/>
    <xf numFmtId="0" fontId="5" fillId="12" borderId="9" xfId="0" applyFont="1" applyFill="1" applyBorder="1"/>
    <xf numFmtId="0" fontId="14" fillId="0" borderId="0" xfId="0" applyFont="1"/>
    <xf numFmtId="167" fontId="1" fillId="0" borderId="0" xfId="0" applyNumberFormat="1" applyFont="1" applyAlignment="1">
      <alignment horizontal="right"/>
    </xf>
    <xf numFmtId="0" fontId="1" fillId="0" borderId="0" xfId="0" applyFont="1" applyFill="1" applyBorder="1" applyAlignment="1">
      <alignment horizontal="right"/>
    </xf>
    <xf numFmtId="167" fontId="5" fillId="0" borderId="0" xfId="0" applyNumberFormat="1" applyFont="1" applyFill="1" applyBorder="1" applyAlignment="1">
      <alignment horizontal="right" vertical="center"/>
    </xf>
    <xf numFmtId="167" fontId="1" fillId="0" borderId="0" xfId="0" applyNumberFormat="1" applyFont="1" applyBorder="1" applyAlignment="1">
      <alignment horizontal="right"/>
    </xf>
    <xf numFmtId="0" fontId="15" fillId="0" borderId="0" xfId="0" applyFont="1"/>
    <xf numFmtId="0" fontId="15" fillId="0" borderId="0" xfId="0" applyFont="1" applyAlignment="1">
      <alignment horizontal="right"/>
    </xf>
    <xf numFmtId="0" fontId="0" fillId="0" borderId="0" xfId="0" applyBorder="1"/>
    <xf numFmtId="167" fontId="16" fillId="14" borderId="0" xfId="0" applyNumberFormat="1" applyFont="1" applyFill="1" applyAlignment="1">
      <alignment horizontal="left" vertical="center"/>
    </xf>
    <xf numFmtId="168" fontId="16" fillId="14" borderId="0" xfId="0" applyNumberFormat="1" applyFont="1" applyFill="1" applyAlignment="1">
      <alignment horizontal="center" vertical="center"/>
    </xf>
    <xf numFmtId="167" fontId="16" fillId="14" borderId="0" xfId="0" applyNumberFormat="1" applyFont="1" applyFill="1" applyAlignment="1">
      <alignment horizontal="center" vertical="center"/>
    </xf>
    <xf numFmtId="166" fontId="0" fillId="0" borderId="0" xfId="0" applyNumberFormat="1" applyBorder="1"/>
    <xf numFmtId="169" fontId="0" fillId="0" borderId="0" xfId="0" applyNumberFormat="1" applyBorder="1"/>
    <xf numFmtId="170" fontId="5" fillId="7" borderId="7" xfId="0" applyNumberFormat="1" applyFont="1" applyFill="1" applyBorder="1"/>
    <xf numFmtId="170" fontId="1" fillId="7" borderId="2" xfId="0" applyNumberFormat="1" applyFont="1" applyFill="1" applyBorder="1"/>
    <xf numFmtId="170" fontId="7" fillId="3" borderId="0" xfId="0" applyNumberFormat="1" applyFont="1" applyFill="1"/>
    <xf numFmtId="170" fontId="8" fillId="2" borderId="0" xfId="0" applyNumberFormat="1" applyFont="1" applyFill="1" applyAlignment="1">
      <alignment horizontal="center" vertical="center"/>
    </xf>
    <xf numFmtId="170" fontId="0" fillId="0" borderId="0" xfId="0" applyNumberFormat="1" applyFont="1"/>
    <xf numFmtId="172" fontId="7" fillId="11" borderId="0" xfId="0" applyNumberFormat="1" applyFont="1" applyFill="1" applyBorder="1"/>
    <xf numFmtId="172" fontId="4" fillId="11" borderId="0" xfId="0" applyNumberFormat="1" applyFont="1" applyFill="1" applyBorder="1"/>
    <xf numFmtId="172" fontId="1" fillId="7" borderId="2" xfId="0" applyNumberFormat="1" applyFont="1" applyFill="1" applyBorder="1"/>
    <xf numFmtId="172" fontId="5" fillId="7" borderId="7" xfId="0" applyNumberFormat="1" applyFont="1" applyFill="1" applyBorder="1"/>
    <xf numFmtId="171" fontId="1" fillId="10" borderId="0" xfId="0" applyNumberFormat="1" applyFont="1" applyFill="1" applyBorder="1"/>
    <xf numFmtId="171" fontId="5" fillId="10" borderId="7" xfId="0" applyNumberFormat="1" applyFont="1" applyFill="1" applyBorder="1"/>
    <xf numFmtId="173" fontId="1" fillId="11" borderId="0" xfId="0" applyNumberFormat="1" applyFont="1" applyFill="1" applyBorder="1"/>
    <xf numFmtId="171" fontId="11" fillId="3" borderId="0" xfId="0" applyNumberFormat="1" applyFont="1" applyFill="1" applyAlignment="1">
      <alignment vertical="center"/>
    </xf>
    <xf numFmtId="172" fontId="1" fillId="0" borderId="0" xfId="0" applyNumberFormat="1" applyFont="1"/>
    <xf numFmtId="172" fontId="1" fillId="0" borderId="0" xfId="0" applyNumberFormat="1" applyFont="1" applyFill="1"/>
    <xf numFmtId="170" fontId="1" fillId="0" borderId="0" xfId="0" applyNumberFormat="1" applyFont="1" applyFill="1" applyBorder="1"/>
    <xf numFmtId="170" fontId="1" fillId="0" borderId="0" xfId="0" applyNumberFormat="1" applyFont="1"/>
    <xf numFmtId="170" fontId="5" fillId="0" borderId="0" xfId="0" applyNumberFormat="1" applyFont="1" applyFill="1" applyAlignment="1">
      <alignment horizontal="right"/>
    </xf>
    <xf numFmtId="170" fontId="5" fillId="0" borderId="0" xfId="0" applyNumberFormat="1" applyFont="1" applyFill="1" applyBorder="1" applyAlignment="1">
      <alignment horizontal="right"/>
    </xf>
    <xf numFmtId="170" fontId="1" fillId="0" borderId="0" xfId="0" applyNumberFormat="1" applyFont="1" applyAlignment="1">
      <alignment horizontal="right"/>
    </xf>
    <xf numFmtId="167" fontId="7" fillId="0" borderId="0" xfId="0" applyNumberFormat="1" applyFont="1" applyAlignment="1">
      <alignment vertical="center"/>
    </xf>
    <xf numFmtId="0" fontId="3" fillId="0" borderId="0" xfId="0" applyFont="1" applyBorder="1"/>
    <xf numFmtId="166" fontId="1" fillId="0" borderId="0" xfId="0" applyNumberFormat="1" applyFont="1" applyBorder="1"/>
    <xf numFmtId="0" fontId="0" fillId="0" borderId="0" xfId="0" applyAlignment="1">
      <alignment horizontal="left" vertical="center"/>
    </xf>
    <xf numFmtId="0" fontId="0" fillId="0" borderId="11" xfId="0" applyFont="1" applyBorder="1" applyAlignment="1">
      <alignment horizontal="left" vertical="center" wrapText="1"/>
    </xf>
    <xf numFmtId="167" fontId="7" fillId="7" borderId="7" xfId="0" applyNumberFormat="1" applyFont="1" applyFill="1" applyBorder="1" applyAlignment="1">
      <alignment horizontal="center" vertical="center"/>
    </xf>
    <xf numFmtId="167" fontId="7" fillId="7" borderId="8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1" fillId="7" borderId="2" xfId="0" applyFont="1" applyFill="1" applyBorder="1"/>
    <xf numFmtId="172" fontId="7" fillId="7" borderId="0" xfId="0" applyNumberFormat="1" applyFont="1" applyFill="1" applyBorder="1"/>
    <xf numFmtId="172" fontId="4" fillId="7" borderId="0" xfId="0" applyNumberFormat="1" applyFont="1" applyFill="1" applyBorder="1"/>
    <xf numFmtId="171" fontId="1" fillId="7" borderId="0" xfId="0" applyNumberFormat="1" applyFont="1" applyFill="1" applyBorder="1"/>
    <xf numFmtId="0" fontId="7" fillId="3" borderId="12" xfId="0" applyFont="1" applyFill="1" applyBorder="1"/>
    <xf numFmtId="172" fontId="7" fillId="3" borderId="13" xfId="0" applyNumberFormat="1" applyFont="1" applyFill="1" applyBorder="1"/>
    <xf numFmtId="1" fontId="1" fillId="10" borderId="0" xfId="0" applyNumberFormat="1" applyFont="1" applyFill="1" applyBorder="1"/>
    <xf numFmtId="0" fontId="6" fillId="7" borderId="0" xfId="0" applyFont="1" applyFill="1" applyBorder="1"/>
    <xf numFmtId="0" fontId="5" fillId="7" borderId="4" xfId="0" applyFont="1" applyFill="1" applyBorder="1"/>
    <xf numFmtId="170" fontId="8" fillId="2" borderId="0" xfId="0" applyNumberFormat="1" applyFont="1" applyFill="1" applyAlignment="1">
      <alignment horizontal="right" vertical="center"/>
    </xf>
    <xf numFmtId="170" fontId="5" fillId="7" borderId="0" xfId="0" applyNumberFormat="1" applyFont="1" applyFill="1" applyBorder="1"/>
    <xf numFmtId="167" fontId="7" fillId="7" borderId="7" xfId="0" applyNumberFormat="1" applyFont="1" applyFill="1" applyBorder="1" applyAlignment="1">
      <alignment horizontal="center" vertical="center"/>
    </xf>
    <xf numFmtId="167" fontId="7" fillId="7" borderId="8" xfId="0" applyNumberFormat="1" applyFont="1" applyFill="1" applyBorder="1" applyAlignment="1">
      <alignment horizontal="center" vertical="center"/>
    </xf>
    <xf numFmtId="0" fontId="4" fillId="15" borderId="0" xfId="0" applyFont="1" applyFill="1" applyBorder="1"/>
    <xf numFmtId="15" fontId="0" fillId="0" borderId="0" xfId="0" applyNumberFormat="1" applyBorder="1"/>
    <xf numFmtId="0" fontId="4" fillId="12" borderId="0" xfId="0" applyFont="1" applyFill="1" applyBorder="1"/>
    <xf numFmtId="166" fontId="3" fillId="0" borderId="0" xfId="0" applyNumberFormat="1" applyFont="1" applyBorder="1"/>
    <xf numFmtId="169" fontId="3" fillId="0" borderId="0" xfId="0" applyNumberFormat="1" applyFont="1" applyBorder="1"/>
    <xf numFmtId="0" fontId="7" fillId="3" borderId="6" xfId="0" applyFont="1" applyFill="1" applyBorder="1"/>
    <xf numFmtId="172" fontId="7" fillId="3" borderId="8" xfId="0" applyNumberFormat="1" applyFont="1" applyFill="1" applyBorder="1"/>
    <xf numFmtId="172" fontId="4" fillId="11" borderId="7" xfId="0" applyNumberFormat="1" applyFont="1" applyFill="1" applyBorder="1"/>
    <xf numFmtId="0" fontId="5" fillId="2" borderId="0" xfId="0" applyFont="1" applyFill="1"/>
    <xf numFmtId="0" fontId="1" fillId="15" borderId="1" xfId="0" applyFont="1" applyFill="1" applyBorder="1"/>
    <xf numFmtId="0" fontId="1" fillId="15" borderId="2" xfId="0" applyFont="1" applyFill="1" applyBorder="1"/>
    <xf numFmtId="0" fontId="1" fillId="15" borderId="4" xfId="0" applyFont="1" applyFill="1" applyBorder="1"/>
    <xf numFmtId="0" fontId="1" fillId="15" borderId="0" xfId="0" applyFont="1" applyFill="1" applyBorder="1"/>
    <xf numFmtId="171" fontId="1" fillId="15" borderId="0" xfId="0" applyNumberFormat="1" applyFont="1" applyFill="1" applyBorder="1"/>
    <xf numFmtId="0" fontId="5" fillId="15" borderId="6" xfId="0" applyFont="1" applyFill="1" applyBorder="1"/>
    <xf numFmtId="171" fontId="5" fillId="15" borderId="7" xfId="0" applyNumberFormat="1" applyFont="1" applyFill="1" applyBorder="1"/>
    <xf numFmtId="0" fontId="4" fillId="5" borderId="0" xfId="0" applyFont="1" applyFill="1"/>
    <xf numFmtId="172" fontId="1" fillId="9" borderId="0" xfId="0" applyNumberFormat="1" applyFont="1" applyFill="1" applyBorder="1"/>
    <xf numFmtId="172" fontId="5" fillId="9" borderId="0" xfId="0" applyNumberFormat="1" applyFont="1" applyFill="1" applyBorder="1"/>
    <xf numFmtId="172" fontId="5" fillId="9" borderId="7" xfId="0" applyNumberFormat="1" applyFont="1" applyFill="1" applyBorder="1"/>
    <xf numFmtId="173" fontId="1" fillId="9" borderId="2" xfId="0" applyNumberFormat="1" applyFont="1" applyFill="1" applyBorder="1"/>
    <xf numFmtId="173" fontId="1" fillId="9" borderId="0" xfId="0" applyNumberFormat="1" applyFont="1" applyFill="1" applyBorder="1"/>
    <xf numFmtId="173" fontId="5" fillId="9" borderId="0" xfId="0" applyNumberFormat="1" applyFont="1" applyFill="1" applyBorder="1"/>
    <xf numFmtId="173" fontId="5" fillId="9" borderId="7" xfId="0" applyNumberFormat="1" applyFont="1" applyFill="1" applyBorder="1"/>
    <xf numFmtId="0" fontId="1" fillId="9" borderId="6" xfId="0" applyFont="1" applyFill="1" applyBorder="1"/>
    <xf numFmtId="173" fontId="1" fillId="9" borderId="7" xfId="0" applyNumberFormat="1" applyFont="1" applyFill="1" applyBorder="1"/>
    <xf numFmtId="170" fontId="1" fillId="15" borderId="0" xfId="0" applyNumberFormat="1" applyFont="1" applyFill="1" applyBorder="1"/>
    <xf numFmtId="0" fontId="5" fillId="15" borderId="4" xfId="0" applyFont="1" applyFill="1" applyBorder="1"/>
    <xf numFmtId="170" fontId="5" fillId="15" borderId="0" xfId="0" applyNumberFormat="1" applyFont="1" applyFill="1" applyBorder="1"/>
    <xf numFmtId="170" fontId="5" fillId="15" borderId="7" xfId="0" applyNumberFormat="1" applyFont="1" applyFill="1" applyBorder="1"/>
    <xf numFmtId="170" fontId="1" fillId="15" borderId="2" xfId="0" applyNumberFormat="1" applyFont="1" applyFill="1" applyBorder="1"/>
    <xf numFmtId="172" fontId="1" fillId="7" borderId="0" xfId="0" applyNumberFormat="1" applyFont="1" applyFill="1" applyBorder="1"/>
    <xf numFmtId="171" fontId="5" fillId="15" borderId="0" xfId="0" applyNumberFormat="1" applyFont="1" applyFill="1" applyBorder="1"/>
    <xf numFmtId="170" fontId="5" fillId="16" borderId="14" xfId="0" applyNumberFormat="1" applyFont="1" applyFill="1" applyBorder="1"/>
    <xf numFmtId="170" fontId="5" fillId="16" borderId="10" xfId="0" applyNumberFormat="1" applyFont="1" applyFill="1" applyBorder="1"/>
    <xf numFmtId="170" fontId="7" fillId="12" borderId="10" xfId="0" applyNumberFormat="1" applyFont="1" applyFill="1" applyBorder="1" applyAlignment="1">
      <alignment horizontal="right"/>
    </xf>
    <xf numFmtId="167" fontId="1" fillId="0" borderId="0" xfId="0" applyNumberFormat="1" applyFont="1"/>
    <xf numFmtId="167" fontId="1" fillId="0" borderId="0" xfId="0" applyNumberFormat="1" applyFont="1" applyFill="1" applyBorder="1"/>
    <xf numFmtId="167" fontId="5" fillId="16" borderId="10" xfId="0" applyNumberFormat="1" applyFont="1" applyFill="1" applyBorder="1"/>
    <xf numFmtId="167" fontId="5" fillId="16" borderId="14" xfId="0" applyNumberFormat="1" applyFont="1" applyFill="1" applyBorder="1"/>
    <xf numFmtId="167" fontId="7" fillId="12" borderId="10" xfId="0" applyNumberFormat="1" applyFont="1" applyFill="1" applyBorder="1" applyAlignment="1">
      <alignment horizontal="right"/>
    </xf>
    <xf numFmtId="174" fontId="0" fillId="0" borderId="0" xfId="0" applyNumberFormat="1" applyBorder="1"/>
    <xf numFmtId="0" fontId="0" fillId="0" borderId="0" xfId="0" applyFont="1" applyFill="1"/>
    <xf numFmtId="0" fontId="0" fillId="0" borderId="0" xfId="0" applyFont="1" applyFill="1" applyBorder="1" applyAlignment="1"/>
    <xf numFmtId="0" fontId="0" fillId="0" borderId="0" xfId="0" applyFont="1" applyBorder="1" applyAlignment="1"/>
    <xf numFmtId="0" fontId="7" fillId="0" borderId="0" xfId="0" applyFont="1" applyBorder="1" applyAlignment="1">
      <alignment vertical="center"/>
    </xf>
    <xf numFmtId="0" fontId="4" fillId="3" borderId="0" xfId="0" applyFont="1" applyFill="1" applyBorder="1"/>
    <xf numFmtId="167" fontId="7" fillId="0" borderId="0" xfId="0" applyNumberFormat="1" applyFont="1" applyFill="1" applyBorder="1" applyAlignment="1">
      <alignment horizontal="center" vertical="center"/>
    </xf>
    <xf numFmtId="0" fontId="7" fillId="12" borderId="9" xfId="0" applyFont="1" applyFill="1" applyBorder="1" applyAlignment="1">
      <alignment horizontal="right"/>
    </xf>
    <xf numFmtId="167" fontId="7" fillId="7" borderId="7" xfId="0" applyNumberFormat="1" applyFont="1" applyFill="1" applyBorder="1" applyAlignment="1">
      <alignment horizontal="center" vertical="center"/>
    </xf>
    <xf numFmtId="167" fontId="7" fillId="7" borderId="8" xfId="0" applyNumberFormat="1" applyFont="1" applyFill="1" applyBorder="1" applyAlignment="1">
      <alignment horizontal="center" vertical="center"/>
    </xf>
    <xf numFmtId="0" fontId="5" fillId="13" borderId="18" xfId="0" applyFont="1" applyFill="1" applyBorder="1"/>
    <xf numFmtId="0" fontId="5" fillId="13" borderId="18" xfId="0" applyFont="1" applyFill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5" fillId="13" borderId="0" xfId="0" applyFont="1" applyFill="1" applyBorder="1"/>
    <xf numFmtId="0" fontId="5" fillId="13" borderId="0" xfId="0" applyFont="1" applyFill="1" applyBorder="1" applyAlignment="1">
      <alignment horizontal="right"/>
    </xf>
    <xf numFmtId="0" fontId="1" fillId="0" borderId="0" xfId="0" applyFont="1" applyBorder="1"/>
    <xf numFmtId="0" fontId="19" fillId="17" borderId="10" xfId="0" applyFont="1" applyFill="1" applyBorder="1"/>
    <xf numFmtId="167" fontId="19" fillId="17" borderId="10" xfId="0" applyNumberFormat="1" applyFont="1" applyFill="1" applyBorder="1"/>
    <xf numFmtId="0" fontId="20" fillId="17" borderId="0" xfId="0" applyFont="1" applyFill="1"/>
    <xf numFmtId="172" fontId="20" fillId="17" borderId="0" xfId="0" applyNumberFormat="1" applyFont="1" applyFill="1"/>
    <xf numFmtId="0" fontId="21" fillId="17" borderId="0" xfId="0" applyFont="1" applyFill="1"/>
    <xf numFmtId="2" fontId="21" fillId="17" borderId="0" xfId="0" applyNumberFormat="1" applyFont="1" applyFill="1"/>
    <xf numFmtId="0" fontId="23" fillId="0" borderId="18" xfId="0" applyFont="1" applyBorder="1"/>
    <xf numFmtId="0" fontId="24" fillId="18" borderId="0" xfId="0" applyFont="1" applyFill="1"/>
    <xf numFmtId="0" fontId="25" fillId="0" borderId="0" xfId="0" applyFont="1"/>
    <xf numFmtId="169" fontId="25" fillId="0" borderId="0" xfId="0" applyNumberFormat="1" applyFont="1"/>
    <xf numFmtId="0" fontId="26" fillId="0" borderId="0" xfId="0" applyFont="1" applyAlignment="1">
      <alignment horizontal="left" indent="3"/>
    </xf>
    <xf numFmtId="9" fontId="26" fillId="0" borderId="0" xfId="1" applyFont="1"/>
    <xf numFmtId="0" fontId="26" fillId="0" borderId="0" xfId="0" applyFont="1"/>
    <xf numFmtId="0" fontId="24" fillId="0" borderId="0" xfId="0" applyFont="1"/>
    <xf numFmtId="167" fontId="24" fillId="0" borderId="0" xfId="0" applyNumberFormat="1" applyFont="1"/>
    <xf numFmtId="0" fontId="26" fillId="0" borderId="9" xfId="0" applyFont="1" applyBorder="1"/>
    <xf numFmtId="167" fontId="24" fillId="0" borderId="9" xfId="0" applyNumberFormat="1" applyFont="1" applyBorder="1"/>
    <xf numFmtId="0" fontId="24" fillId="0" borderId="9" xfId="0" applyFont="1" applyBorder="1"/>
    <xf numFmtId="9" fontId="0" fillId="0" borderId="0" xfId="0" applyNumberFormat="1" applyBorder="1" applyAlignment="1">
      <alignment horizontal="left"/>
    </xf>
    <xf numFmtId="170" fontId="7" fillId="0" borderId="0" xfId="0" applyNumberFormat="1" applyFont="1" applyFill="1" applyBorder="1"/>
    <xf numFmtId="0" fontId="17" fillId="17" borderId="11" xfId="0" applyFont="1" applyFill="1" applyBorder="1" applyAlignment="1">
      <alignment horizontal="justify" vertical="center"/>
    </xf>
    <xf numFmtId="0" fontId="18" fillId="0" borderId="11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167" fontId="7" fillId="15" borderId="3" xfId="0" applyNumberFormat="1" applyFont="1" applyFill="1" applyBorder="1" applyAlignment="1">
      <alignment horizontal="center" vertical="center"/>
    </xf>
    <xf numFmtId="167" fontId="7" fillId="15" borderId="5" xfId="0" applyNumberFormat="1" applyFont="1" applyFill="1" applyBorder="1" applyAlignment="1">
      <alignment horizontal="center" vertical="center"/>
    </xf>
    <xf numFmtId="167" fontId="7" fillId="15" borderId="8" xfId="0" applyNumberFormat="1" applyFont="1" applyFill="1" applyBorder="1" applyAlignment="1">
      <alignment horizontal="center" vertical="center"/>
    </xf>
    <xf numFmtId="167" fontId="7" fillId="15" borderId="2" xfId="0" applyNumberFormat="1" applyFont="1" applyFill="1" applyBorder="1" applyAlignment="1">
      <alignment horizontal="center" vertical="center"/>
    </xf>
    <xf numFmtId="167" fontId="7" fillId="15" borderId="0" xfId="0" applyNumberFormat="1" applyFont="1" applyFill="1" applyBorder="1" applyAlignment="1">
      <alignment horizontal="center" vertical="center"/>
    </xf>
    <xf numFmtId="167" fontId="7" fillId="15" borderId="7" xfId="0" applyNumberFormat="1" applyFont="1" applyFill="1" applyBorder="1" applyAlignment="1">
      <alignment horizontal="center" vertical="center"/>
    </xf>
    <xf numFmtId="167" fontId="7" fillId="7" borderId="2" xfId="0" applyNumberFormat="1" applyFont="1" applyFill="1" applyBorder="1" applyAlignment="1">
      <alignment horizontal="center" vertical="center"/>
    </xf>
    <xf numFmtId="167" fontId="7" fillId="7" borderId="0" xfId="0" applyNumberFormat="1" applyFont="1" applyFill="1" applyBorder="1" applyAlignment="1">
      <alignment horizontal="center" vertical="center"/>
    </xf>
    <xf numFmtId="167" fontId="7" fillId="7" borderId="7" xfId="0" applyNumberFormat="1" applyFont="1" applyFill="1" applyBorder="1" applyAlignment="1">
      <alignment horizontal="center" vertical="center"/>
    </xf>
    <xf numFmtId="167" fontId="7" fillId="7" borderId="3" xfId="0" applyNumberFormat="1" applyFont="1" applyFill="1" applyBorder="1" applyAlignment="1">
      <alignment horizontal="center" vertical="center"/>
    </xf>
    <xf numFmtId="167" fontId="7" fillId="7" borderId="5" xfId="0" applyNumberFormat="1" applyFont="1" applyFill="1" applyBorder="1" applyAlignment="1">
      <alignment horizontal="center" vertical="center"/>
    </xf>
    <xf numFmtId="167" fontId="7" fillId="7" borderId="8" xfId="0" applyNumberFormat="1" applyFont="1" applyFill="1" applyBorder="1" applyAlignment="1">
      <alignment horizontal="center" vertical="center"/>
    </xf>
    <xf numFmtId="167" fontId="7" fillId="11" borderId="2" xfId="0" applyNumberFormat="1" applyFont="1" applyFill="1" applyBorder="1" applyAlignment="1">
      <alignment horizontal="center" vertical="center"/>
    </xf>
    <xf numFmtId="167" fontId="7" fillId="11" borderId="0" xfId="0" applyNumberFormat="1" applyFont="1" applyFill="1" applyBorder="1" applyAlignment="1">
      <alignment horizontal="center" vertical="center"/>
    </xf>
    <xf numFmtId="167" fontId="7" fillId="11" borderId="7" xfId="0" applyNumberFormat="1" applyFont="1" applyFill="1" applyBorder="1" applyAlignment="1">
      <alignment horizontal="center" vertical="center"/>
    </xf>
    <xf numFmtId="167" fontId="7" fillId="11" borderId="3" xfId="0" applyNumberFormat="1" applyFont="1" applyFill="1" applyBorder="1" applyAlignment="1">
      <alignment horizontal="center" vertical="center"/>
    </xf>
    <xf numFmtId="167" fontId="7" fillId="11" borderId="5" xfId="0" applyNumberFormat="1" applyFont="1" applyFill="1" applyBorder="1" applyAlignment="1">
      <alignment horizontal="center" vertical="center"/>
    </xf>
    <xf numFmtId="167" fontId="7" fillId="11" borderId="8" xfId="0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167" fontId="7" fillId="0" borderId="0" xfId="0" applyNumberFormat="1" applyFont="1" applyFill="1" applyBorder="1" applyAlignment="1">
      <alignment horizontal="center" vertical="center"/>
    </xf>
    <xf numFmtId="167" fontId="7" fillId="10" borderId="2" xfId="0" applyNumberFormat="1" applyFont="1" applyFill="1" applyBorder="1" applyAlignment="1">
      <alignment horizontal="center" vertical="center"/>
    </xf>
    <xf numFmtId="167" fontId="7" fillId="10" borderId="0" xfId="0" applyNumberFormat="1" applyFont="1" applyFill="1" applyBorder="1" applyAlignment="1">
      <alignment horizontal="center" vertical="center"/>
    </xf>
    <xf numFmtId="167" fontId="7" fillId="10" borderId="7" xfId="0" applyNumberFormat="1" applyFont="1" applyFill="1" applyBorder="1" applyAlignment="1">
      <alignment horizontal="center" vertical="center"/>
    </xf>
    <xf numFmtId="167" fontId="7" fillId="10" borderId="3" xfId="0" applyNumberFormat="1" applyFont="1" applyFill="1" applyBorder="1" applyAlignment="1">
      <alignment horizontal="center" vertical="center"/>
    </xf>
    <xf numFmtId="167" fontId="7" fillId="10" borderId="5" xfId="0" applyNumberFormat="1" applyFont="1" applyFill="1" applyBorder="1" applyAlignment="1">
      <alignment horizontal="center" vertical="center"/>
    </xf>
    <xf numFmtId="167" fontId="7" fillId="10" borderId="8" xfId="0" applyNumberFormat="1" applyFont="1" applyFill="1" applyBorder="1" applyAlignment="1">
      <alignment horizontal="center" vertical="center"/>
    </xf>
    <xf numFmtId="167" fontId="7" fillId="9" borderId="2" xfId="0" applyNumberFormat="1" applyFont="1" applyFill="1" applyBorder="1" applyAlignment="1">
      <alignment horizontal="center" vertical="center"/>
    </xf>
    <xf numFmtId="167" fontId="7" fillId="9" borderId="0" xfId="0" applyNumberFormat="1" applyFont="1" applyFill="1" applyBorder="1" applyAlignment="1">
      <alignment horizontal="center" vertical="center"/>
    </xf>
    <xf numFmtId="167" fontId="7" fillId="9" borderId="7" xfId="0" applyNumberFormat="1" applyFont="1" applyFill="1" applyBorder="1" applyAlignment="1">
      <alignment horizontal="center" vertical="center"/>
    </xf>
    <xf numFmtId="167" fontId="7" fillId="9" borderId="3" xfId="0" applyNumberFormat="1" applyFont="1" applyFill="1" applyBorder="1" applyAlignment="1">
      <alignment horizontal="center" vertical="center"/>
    </xf>
    <xf numFmtId="167" fontId="7" fillId="9" borderId="5" xfId="0" applyNumberFormat="1" applyFont="1" applyFill="1" applyBorder="1" applyAlignment="1">
      <alignment horizontal="center" vertical="center"/>
    </xf>
    <xf numFmtId="167" fontId="7" fillId="9" borderId="8" xfId="0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0000FF"/>
      <color rgb="FFFE958A"/>
      <color rgb="FFCC0066"/>
      <color rgb="FFFF66FF"/>
      <color rgb="FFFF9933"/>
      <color rgb="FFFF9900"/>
      <color rgb="FFFFFF66"/>
      <color rgb="FF9966FF"/>
      <color rgb="FFD96709"/>
      <color rgb="FFFD6E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148828</xdr:colOff>
      <xdr:row>37</xdr:row>
      <xdr:rowOff>169660</xdr:rowOff>
    </xdr:from>
    <xdr:to>
      <xdr:col>0</xdr:col>
      <xdr:colOff>3691359</xdr:colOff>
      <xdr:row>46</xdr:row>
      <xdr:rowOff>157984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828" y="7027660"/>
          <a:ext cx="3542531" cy="1702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"/>
  <sheetViews>
    <sheetView showGridLines="0" zoomScale="130" zoomScaleNormal="130" workbookViewId="0">
      <selection activeCell="B8" sqref="B8"/>
    </sheetView>
  </sheetViews>
  <sheetFormatPr defaultRowHeight="15" x14ac:dyDescent="0.25"/>
  <cols>
    <col min="1" max="1" width="12.7109375" bestFit="1" customWidth="1"/>
    <col min="2" max="2" width="79.42578125" style="109" customWidth="1"/>
  </cols>
  <sheetData>
    <row r="1" spans="1:2" ht="60" x14ac:dyDescent="0.25">
      <c r="A1" s="204" t="s">
        <v>81</v>
      </c>
      <c r="B1" s="205" t="s">
        <v>285</v>
      </c>
    </row>
    <row r="2" spans="1:2" ht="30" x14ac:dyDescent="0.25">
      <c r="A2" s="204" t="s">
        <v>80</v>
      </c>
      <c r="B2" s="110" t="s">
        <v>279</v>
      </c>
    </row>
    <row r="3" spans="1:2" ht="30" x14ac:dyDescent="0.25">
      <c r="A3" s="204" t="s">
        <v>82</v>
      </c>
      <c r="B3" s="110" t="s">
        <v>284</v>
      </c>
    </row>
    <row r="4" spans="1:2" ht="30" x14ac:dyDescent="0.25">
      <c r="A4" s="204" t="s">
        <v>83</v>
      </c>
      <c r="B4" s="110" t="s">
        <v>286</v>
      </c>
    </row>
    <row r="5" spans="1:2" ht="30" x14ac:dyDescent="0.25">
      <c r="A5" s="204" t="s">
        <v>84</v>
      </c>
      <c r="B5" s="110" t="s">
        <v>287</v>
      </c>
    </row>
    <row r="6" spans="1:2" ht="30" x14ac:dyDescent="0.25">
      <c r="A6" s="204" t="s">
        <v>280</v>
      </c>
      <c r="B6" s="110" t="s">
        <v>281</v>
      </c>
    </row>
    <row r="7" spans="1:2" ht="45" x14ac:dyDescent="0.25">
      <c r="A7" s="204" t="s">
        <v>282</v>
      </c>
      <c r="B7" s="110" t="s">
        <v>283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8"/>
  <sheetViews>
    <sheetView showGridLines="0" zoomScaleNormal="100" workbookViewId="0">
      <selection activeCell="E14" sqref="E14:G18"/>
    </sheetView>
  </sheetViews>
  <sheetFormatPr defaultRowHeight="15" x14ac:dyDescent="0.25"/>
  <cols>
    <col min="1" max="1" width="83" style="80" bestFit="1" customWidth="1"/>
    <col min="2" max="2" width="12.140625" style="80" bestFit="1" customWidth="1"/>
    <col min="3" max="3" width="10.85546875" style="80" bestFit="1" customWidth="1"/>
    <col min="4" max="4" width="9.7109375" style="80" customWidth="1"/>
    <col min="5" max="5" width="25.140625" style="80" bestFit="1" customWidth="1"/>
    <col min="6" max="16384" width="9.140625" style="80"/>
  </cols>
  <sheetData>
    <row r="1" spans="1:7" x14ac:dyDescent="0.25">
      <c r="B1" s="128">
        <v>43988</v>
      </c>
      <c r="C1" s="168">
        <v>0.06</v>
      </c>
    </row>
    <row r="2" spans="1:7" x14ac:dyDescent="0.25">
      <c r="A2" s="129" t="s">
        <v>136</v>
      </c>
      <c r="B2" s="129" t="s">
        <v>71</v>
      </c>
      <c r="C2" s="129" t="s">
        <v>77</v>
      </c>
    </row>
    <row r="3" spans="1:7" x14ac:dyDescent="0.25">
      <c r="A3" s="173" t="s">
        <v>171</v>
      </c>
    </row>
    <row r="4" spans="1:7" x14ac:dyDescent="0.25">
      <c r="A4" s="127" t="s">
        <v>178</v>
      </c>
    </row>
    <row r="5" spans="1:7" x14ac:dyDescent="0.25">
      <c r="A5" s="113" t="s">
        <v>172</v>
      </c>
      <c r="B5" s="84">
        <v>1</v>
      </c>
      <c r="C5" s="85">
        <f>$C$1*B5</f>
        <v>0.06</v>
      </c>
    </row>
    <row r="6" spans="1:7" x14ac:dyDescent="0.25">
      <c r="A6" s="113" t="s">
        <v>174</v>
      </c>
      <c r="B6" s="84">
        <v>5</v>
      </c>
      <c r="C6" s="85">
        <f>$C$1*B6</f>
        <v>0.3</v>
      </c>
    </row>
    <row r="7" spans="1:7" x14ac:dyDescent="0.25">
      <c r="A7" s="113" t="s">
        <v>173</v>
      </c>
      <c r="B7" s="84">
        <v>20</v>
      </c>
      <c r="C7" s="85">
        <f>$C$1*B7</f>
        <v>1.2</v>
      </c>
    </row>
    <row r="8" spans="1:7" x14ac:dyDescent="0.25">
      <c r="A8" s="113" t="s">
        <v>176</v>
      </c>
      <c r="B8" s="130">
        <v>75</v>
      </c>
      <c r="C8" s="85">
        <f t="shared" ref="C8" si="0">$C$1*B8</f>
        <v>4.5</v>
      </c>
    </row>
    <row r="9" spans="1:7" x14ac:dyDescent="0.25">
      <c r="A9" s="113" t="s">
        <v>175</v>
      </c>
      <c r="B9" s="84">
        <v>30</v>
      </c>
      <c r="C9" s="85">
        <f t="shared" ref="C9" si="1">$C$1*B9</f>
        <v>1.7999999999999998</v>
      </c>
    </row>
    <row r="10" spans="1:7" x14ac:dyDescent="0.25">
      <c r="A10" s="113" t="s">
        <v>193</v>
      </c>
      <c r="B10" s="84">
        <v>30</v>
      </c>
      <c r="C10" s="85">
        <f>$C$1*B10</f>
        <v>1.7999999999999998</v>
      </c>
    </row>
    <row r="11" spans="1:7" x14ac:dyDescent="0.25">
      <c r="A11" s="127" t="s">
        <v>177</v>
      </c>
    </row>
    <row r="12" spans="1:7" x14ac:dyDescent="0.25">
      <c r="A12" s="80" t="s">
        <v>74</v>
      </c>
      <c r="B12" s="108">
        <v>1</v>
      </c>
      <c r="C12" s="85">
        <f>$C$1*B12</f>
        <v>0.06</v>
      </c>
    </row>
    <row r="13" spans="1:7" x14ac:dyDescent="0.25">
      <c r="A13" s="80" t="s">
        <v>233</v>
      </c>
      <c r="B13" s="84">
        <v>2.5</v>
      </c>
      <c r="C13" s="85">
        <f>$C$1*B13</f>
        <v>0.15</v>
      </c>
    </row>
    <row r="14" spans="1:7" x14ac:dyDescent="0.25">
      <c r="A14" s="127" t="s">
        <v>179</v>
      </c>
      <c r="E14" s="129" t="s">
        <v>271</v>
      </c>
      <c r="F14" s="129" t="s">
        <v>71</v>
      </c>
      <c r="G14" s="129" t="s">
        <v>77</v>
      </c>
    </row>
    <row r="15" spans="1:7" x14ac:dyDescent="0.25">
      <c r="A15" s="80" t="s">
        <v>72</v>
      </c>
      <c r="B15" s="108">
        <v>400</v>
      </c>
      <c r="C15" s="85">
        <f>$C$1*B15</f>
        <v>24</v>
      </c>
      <c r="E15" s="202">
        <v>1</v>
      </c>
      <c r="F15" s="108">
        <v>400</v>
      </c>
      <c r="G15" s="85">
        <f>$C$1*F15</f>
        <v>24</v>
      </c>
    </row>
    <row r="16" spans="1:7" x14ac:dyDescent="0.25">
      <c r="A16" s="127" t="s">
        <v>180</v>
      </c>
      <c r="B16" s="130"/>
      <c r="C16" s="131"/>
      <c r="E16" s="202">
        <v>0.75</v>
      </c>
      <c r="F16" s="84">
        <f>F15*0.75</f>
        <v>300</v>
      </c>
      <c r="G16" s="85">
        <f t="shared" ref="G16:G18" si="2">$C$1*F16</f>
        <v>18</v>
      </c>
    </row>
    <row r="17" spans="1:7" x14ac:dyDescent="0.25">
      <c r="A17" s="80" t="s">
        <v>182</v>
      </c>
      <c r="B17" s="84">
        <v>5</v>
      </c>
      <c r="C17" s="85">
        <f>$C$1*B17</f>
        <v>0.3</v>
      </c>
      <c r="E17" s="202">
        <v>0.5</v>
      </c>
      <c r="F17" s="84">
        <f>F15*0.5</f>
        <v>200</v>
      </c>
      <c r="G17" s="85">
        <f t="shared" si="2"/>
        <v>12</v>
      </c>
    </row>
    <row r="18" spans="1:7" x14ac:dyDescent="0.25">
      <c r="A18" s="80" t="s">
        <v>183</v>
      </c>
      <c r="B18" s="84">
        <v>20</v>
      </c>
      <c r="C18" s="85">
        <f>$C$1*B18</f>
        <v>1.2</v>
      </c>
      <c r="E18" s="202">
        <v>0.25</v>
      </c>
      <c r="F18" s="84">
        <f>F15*0.25</f>
        <v>100</v>
      </c>
      <c r="G18" s="85">
        <f t="shared" si="2"/>
        <v>6</v>
      </c>
    </row>
    <row r="19" spans="1:7" x14ac:dyDescent="0.25">
      <c r="A19" s="80" t="s">
        <v>192</v>
      </c>
      <c r="B19" s="84">
        <v>30</v>
      </c>
      <c r="C19" s="85">
        <f>$C$1*B19</f>
        <v>1.7999999999999998</v>
      </c>
      <c r="D19" s="107"/>
    </row>
    <row r="20" spans="1:7" x14ac:dyDescent="0.25">
      <c r="A20" s="127" t="s">
        <v>181</v>
      </c>
    </row>
    <row r="21" spans="1:7" x14ac:dyDescent="0.25">
      <c r="A21" s="80" t="s">
        <v>184</v>
      </c>
      <c r="B21" s="84">
        <v>5</v>
      </c>
      <c r="C21" s="85">
        <f>$C$1*B21</f>
        <v>0.3</v>
      </c>
    </row>
    <row r="22" spans="1:7" x14ac:dyDescent="0.25">
      <c r="A22" s="80" t="s">
        <v>185</v>
      </c>
      <c r="B22" s="130">
        <v>75</v>
      </c>
      <c r="C22" s="85">
        <f>$C$1*B22</f>
        <v>4.5</v>
      </c>
    </row>
    <row r="23" spans="1:7" x14ac:dyDescent="0.25">
      <c r="A23" s="80" t="s">
        <v>186</v>
      </c>
      <c r="B23" s="84">
        <v>30</v>
      </c>
      <c r="C23" s="85">
        <f>$C$1*B23</f>
        <v>1.7999999999999998</v>
      </c>
    </row>
    <row r="24" spans="1:7" x14ac:dyDescent="0.25">
      <c r="A24" s="173" t="s">
        <v>170</v>
      </c>
      <c r="B24" s="84"/>
      <c r="C24" s="85"/>
    </row>
    <row r="25" spans="1:7" x14ac:dyDescent="0.25">
      <c r="A25" s="127" t="s">
        <v>187</v>
      </c>
      <c r="B25" s="130"/>
      <c r="C25" s="131"/>
    </row>
    <row r="26" spans="1:7" x14ac:dyDescent="0.25">
      <c r="A26" s="113" t="s">
        <v>112</v>
      </c>
      <c r="B26" s="84">
        <v>7</v>
      </c>
      <c r="C26" s="85">
        <f>$C$1*B26</f>
        <v>0.42</v>
      </c>
    </row>
    <row r="27" spans="1:7" x14ac:dyDescent="0.25">
      <c r="A27" s="113" t="s">
        <v>188</v>
      </c>
      <c r="B27" s="84">
        <v>30</v>
      </c>
      <c r="C27" s="85">
        <f>$C$1*B27</f>
        <v>1.7999999999999998</v>
      </c>
    </row>
    <row r="28" spans="1:7" x14ac:dyDescent="0.25">
      <c r="A28" s="127" t="s">
        <v>190</v>
      </c>
    </row>
    <row r="29" spans="1:7" x14ac:dyDescent="0.25">
      <c r="A29" s="80" t="s">
        <v>189</v>
      </c>
      <c r="B29" s="84">
        <v>3.5</v>
      </c>
      <c r="C29" s="85">
        <f t="shared" ref="C29" si="3">$C$1*B29</f>
        <v>0.21</v>
      </c>
    </row>
    <row r="30" spans="1:7" x14ac:dyDescent="0.25">
      <c r="A30" s="80" t="s">
        <v>85</v>
      </c>
      <c r="B30" s="108">
        <v>15</v>
      </c>
      <c r="C30" s="85">
        <f>$C$1*B30</f>
        <v>0.89999999999999991</v>
      </c>
    </row>
    <row r="31" spans="1:7" x14ac:dyDescent="0.25">
      <c r="A31" s="80" t="s">
        <v>111</v>
      </c>
      <c r="B31" s="108">
        <v>2</v>
      </c>
      <c r="C31" s="85">
        <f>$C$1*B31</f>
        <v>0.12</v>
      </c>
    </row>
    <row r="32" spans="1:7" x14ac:dyDescent="0.25">
      <c r="A32" s="113" t="s">
        <v>252</v>
      </c>
      <c r="B32" s="108">
        <v>8</v>
      </c>
      <c r="C32" s="85">
        <f>$C$1*B32</f>
        <v>0.48</v>
      </c>
    </row>
    <row r="33" spans="1:3" x14ac:dyDescent="0.25">
      <c r="A33" s="80" t="s">
        <v>109</v>
      </c>
      <c r="B33" s="108">
        <v>1</v>
      </c>
      <c r="C33" s="85">
        <f>$C$1*B33</f>
        <v>0.06</v>
      </c>
    </row>
    <row r="34" spans="1:3" x14ac:dyDescent="0.25">
      <c r="A34" s="127" t="s">
        <v>191</v>
      </c>
    </row>
    <row r="35" spans="1:3" x14ac:dyDescent="0.25">
      <c r="A35" s="80" t="s">
        <v>86</v>
      </c>
      <c r="B35" s="108">
        <v>50</v>
      </c>
      <c r="C35" s="85">
        <f t="shared" ref="C35:C37" si="4">$C$1*B35</f>
        <v>3</v>
      </c>
    </row>
    <row r="36" spans="1:3" x14ac:dyDescent="0.25">
      <c r="A36" s="80" t="s">
        <v>73</v>
      </c>
      <c r="B36" s="108">
        <v>1</v>
      </c>
      <c r="C36" s="85">
        <f t="shared" si="4"/>
        <v>0.06</v>
      </c>
    </row>
    <row r="37" spans="1:3" x14ac:dyDescent="0.25">
      <c r="A37" s="80" t="s">
        <v>110</v>
      </c>
      <c r="B37" s="108">
        <v>45</v>
      </c>
      <c r="C37" s="85">
        <f t="shared" si="4"/>
        <v>2.6999999999999997</v>
      </c>
    </row>
    <row r="38" spans="1:3" x14ac:dyDescent="0.25">
      <c r="B38" s="84"/>
      <c r="C38" s="85"/>
    </row>
  </sheetData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62"/>
  <sheetViews>
    <sheetView showGridLines="0" zoomScale="115" zoomScaleNormal="115" workbookViewId="0">
      <pane ySplit="1" topLeftCell="A38" activePane="bottomLeft" state="frozen"/>
      <selection pane="bottomLeft" activeCell="G14" sqref="G14"/>
    </sheetView>
  </sheetViews>
  <sheetFormatPr defaultRowHeight="15" x14ac:dyDescent="0.25"/>
  <cols>
    <col min="1" max="1" width="97.42578125" style="7" bestFit="1" customWidth="1"/>
    <col min="2" max="2" width="18.140625" style="7" bestFit="1" customWidth="1"/>
    <col min="3" max="3" width="11.7109375" style="2" bestFit="1" customWidth="1"/>
    <col min="4" max="4" width="8.5703125" style="2" bestFit="1" customWidth="1"/>
    <col min="5" max="5" width="3.85546875" style="7" customWidth="1"/>
    <col min="6" max="16384" width="9.140625" style="7"/>
  </cols>
  <sheetData>
    <row r="1" spans="1:6" ht="18.75" x14ac:dyDescent="0.25">
      <c r="A1" s="81" t="s">
        <v>79</v>
      </c>
      <c r="B1" s="82" t="s">
        <v>3</v>
      </c>
      <c r="C1" s="83" t="s">
        <v>0</v>
      </c>
      <c r="D1" s="83" t="s">
        <v>1</v>
      </c>
    </row>
    <row r="2" spans="1:6" ht="15.75" thickBot="1" x14ac:dyDescent="0.3">
      <c r="A2" s="18" t="s">
        <v>259</v>
      </c>
      <c r="C2" s="16"/>
      <c r="D2" s="16"/>
    </row>
    <row r="3" spans="1:6" x14ac:dyDescent="0.25">
      <c r="A3" s="19" t="s">
        <v>139</v>
      </c>
      <c r="B3" s="20">
        <v>3000</v>
      </c>
      <c r="C3" s="221">
        <v>0</v>
      </c>
      <c r="D3" s="224">
        <v>0</v>
      </c>
      <c r="F3" s="227" t="s">
        <v>258</v>
      </c>
    </row>
    <row r="4" spans="1:6" x14ac:dyDescent="0.25">
      <c r="A4" s="58" t="s">
        <v>31</v>
      </c>
      <c r="B4" s="97">
        <f>'SHEET A'!C35</f>
        <v>3</v>
      </c>
      <c r="C4" s="222"/>
      <c r="D4" s="225"/>
      <c r="F4" s="228"/>
    </row>
    <row r="5" spans="1:6" x14ac:dyDescent="0.25">
      <c r="A5" s="58" t="s">
        <v>30</v>
      </c>
      <c r="B5" s="97">
        <f>'SHEET A'!C36</f>
        <v>0.06</v>
      </c>
      <c r="C5" s="222"/>
      <c r="D5" s="225"/>
      <c r="F5" s="228"/>
    </row>
    <row r="6" spans="1:6" ht="15.75" thickBot="1" x14ac:dyDescent="0.3">
      <c r="A6" s="23" t="s">
        <v>257</v>
      </c>
      <c r="B6" s="134">
        <f>B3*(B4+B5)</f>
        <v>9180</v>
      </c>
      <c r="C6" s="223"/>
      <c r="D6" s="226"/>
      <c r="F6" s="229"/>
    </row>
    <row r="7" spans="1:6" ht="15.75" thickBot="1" x14ac:dyDescent="0.3">
      <c r="A7" s="132" t="s">
        <v>113</v>
      </c>
      <c r="B7" s="133">
        <f>B6</f>
        <v>9180</v>
      </c>
      <c r="C7" s="7"/>
      <c r="D7" s="7"/>
      <c r="F7" s="170"/>
    </row>
    <row r="8" spans="1:6" ht="15.75" thickBot="1" x14ac:dyDescent="0.3">
      <c r="A8" s="24" t="s">
        <v>125</v>
      </c>
      <c r="B8" s="1"/>
      <c r="C8" s="16"/>
      <c r="D8" s="16"/>
      <c r="F8" s="169"/>
    </row>
    <row r="9" spans="1:6" x14ac:dyDescent="0.25">
      <c r="A9" s="25" t="s">
        <v>44</v>
      </c>
      <c r="B9" s="87">
        <f>'SHEET A'!C12</f>
        <v>0.06</v>
      </c>
      <c r="C9" s="215">
        <v>6</v>
      </c>
      <c r="D9" s="218">
        <v>0.5</v>
      </c>
      <c r="F9" s="230" t="s">
        <v>144</v>
      </c>
    </row>
    <row r="10" spans="1:6" x14ac:dyDescent="0.25">
      <c r="A10" s="26" t="s">
        <v>137</v>
      </c>
      <c r="B10" s="27">
        <v>100</v>
      </c>
      <c r="C10" s="216"/>
      <c r="D10" s="219"/>
      <c r="F10" s="231"/>
    </row>
    <row r="11" spans="1:6" x14ac:dyDescent="0.25">
      <c r="A11" s="26" t="s">
        <v>199</v>
      </c>
      <c r="B11" s="27">
        <v>60</v>
      </c>
      <c r="C11" s="216"/>
      <c r="D11" s="219"/>
      <c r="F11" s="231"/>
    </row>
    <row r="12" spans="1:6" x14ac:dyDescent="0.25">
      <c r="A12" s="26" t="s">
        <v>7</v>
      </c>
      <c r="B12" s="27">
        <f>B10*B11</f>
        <v>6000</v>
      </c>
      <c r="C12" s="216"/>
      <c r="D12" s="219"/>
      <c r="F12" s="231"/>
    </row>
    <row r="13" spans="1:6" ht="15.75" thickBot="1" x14ac:dyDescent="0.3">
      <c r="A13" s="28" t="s">
        <v>28</v>
      </c>
      <c r="B13" s="86">
        <f>B9*B12</f>
        <v>360</v>
      </c>
      <c r="C13" s="217"/>
      <c r="D13" s="220"/>
      <c r="F13" s="231"/>
    </row>
    <row r="14" spans="1:6" ht="15.75" thickBot="1" x14ac:dyDescent="0.3">
      <c r="A14" s="135" t="s">
        <v>124</v>
      </c>
      <c r="B14" s="1"/>
      <c r="D14" s="3"/>
      <c r="F14" s="231"/>
    </row>
    <row r="15" spans="1:6" x14ac:dyDescent="0.25">
      <c r="A15" s="136" t="s">
        <v>8</v>
      </c>
      <c r="B15" s="137">
        <v>3</v>
      </c>
      <c r="C15" s="212">
        <v>4</v>
      </c>
      <c r="D15" s="209">
        <v>0.33333333333333331</v>
      </c>
      <c r="F15" s="231"/>
    </row>
    <row r="16" spans="1:6" x14ac:dyDescent="0.25">
      <c r="A16" s="138" t="s">
        <v>10</v>
      </c>
      <c r="B16" s="139">
        <v>15</v>
      </c>
      <c r="C16" s="213"/>
      <c r="D16" s="210"/>
      <c r="F16" s="231"/>
    </row>
    <row r="17" spans="1:6" x14ac:dyDescent="0.25">
      <c r="A17" s="138" t="s">
        <v>11</v>
      </c>
      <c r="B17" s="139">
        <f>B10*B15*B16</f>
        <v>4500</v>
      </c>
      <c r="C17" s="213"/>
      <c r="D17" s="210"/>
      <c r="F17" s="231"/>
    </row>
    <row r="18" spans="1:6" x14ac:dyDescent="0.25">
      <c r="A18" s="138" t="s">
        <v>12</v>
      </c>
      <c r="B18" s="153">
        <f>'SHEET A'!C31</f>
        <v>0.12</v>
      </c>
      <c r="C18" s="213"/>
      <c r="D18" s="210"/>
      <c r="F18" s="231"/>
    </row>
    <row r="19" spans="1:6" x14ac:dyDescent="0.25">
      <c r="A19" s="138" t="s">
        <v>138</v>
      </c>
      <c r="B19" s="139">
        <f>B17*0.05</f>
        <v>225</v>
      </c>
      <c r="C19" s="213"/>
      <c r="D19" s="210"/>
      <c r="F19" s="231"/>
    </row>
    <row r="20" spans="1:6" x14ac:dyDescent="0.25">
      <c r="A20" s="154" t="s">
        <v>13</v>
      </c>
      <c r="B20" s="155">
        <f>B19*B18</f>
        <v>27</v>
      </c>
      <c r="C20" s="213"/>
      <c r="D20" s="210"/>
      <c r="F20" s="231"/>
    </row>
    <row r="21" spans="1:6" x14ac:dyDescent="0.25">
      <c r="A21" s="138" t="s">
        <v>200</v>
      </c>
      <c r="B21" s="153">
        <f>'SHEET A'!C30</f>
        <v>0.89999999999999991</v>
      </c>
      <c r="C21" s="213"/>
      <c r="D21" s="210"/>
      <c r="F21" s="231"/>
    </row>
    <row r="22" spans="1:6" ht="15.75" thickBot="1" x14ac:dyDescent="0.3">
      <c r="A22" s="141" t="s">
        <v>29</v>
      </c>
      <c r="B22" s="156">
        <f>(B17*B21)+(B20)</f>
        <v>4076.9999999999995</v>
      </c>
      <c r="C22" s="214"/>
      <c r="D22" s="211"/>
      <c r="F22" s="231"/>
    </row>
    <row r="23" spans="1:6" ht="15.75" thickBot="1" x14ac:dyDescent="0.3">
      <c r="A23" s="135" t="s">
        <v>120</v>
      </c>
      <c r="B23" s="1"/>
      <c r="D23" s="3"/>
      <c r="F23" s="231"/>
    </row>
    <row r="24" spans="1:6" x14ac:dyDescent="0.25">
      <c r="A24" s="136" t="s">
        <v>14</v>
      </c>
      <c r="B24" s="157">
        <f>'SHEET A'!C33</f>
        <v>0.06</v>
      </c>
      <c r="C24" s="212">
        <v>92</v>
      </c>
      <c r="D24" s="209">
        <v>7.666666666666667</v>
      </c>
      <c r="F24" s="231"/>
    </row>
    <row r="25" spans="1:6" x14ac:dyDescent="0.25">
      <c r="A25" s="138" t="s">
        <v>31</v>
      </c>
      <c r="B25" s="153">
        <f>'SHEET A'!C35</f>
        <v>3</v>
      </c>
      <c r="C25" s="213"/>
      <c r="D25" s="210"/>
      <c r="F25" s="231"/>
    </row>
    <row r="26" spans="1:6" x14ac:dyDescent="0.25">
      <c r="A26" s="138" t="s">
        <v>30</v>
      </c>
      <c r="B26" s="153">
        <f>'SHEET A'!C36</f>
        <v>0.06</v>
      </c>
      <c r="C26" s="213"/>
      <c r="D26" s="210"/>
      <c r="F26" s="231"/>
    </row>
    <row r="27" spans="1:6" x14ac:dyDescent="0.25">
      <c r="A27" s="154" t="s">
        <v>32</v>
      </c>
      <c r="B27" s="155">
        <f>B17*B24</f>
        <v>270</v>
      </c>
      <c r="C27" s="213"/>
      <c r="D27" s="210"/>
      <c r="F27" s="231"/>
    </row>
    <row r="28" spans="1:6" x14ac:dyDescent="0.25">
      <c r="A28" s="154" t="s">
        <v>33</v>
      </c>
      <c r="B28" s="155">
        <f>B17*B25</f>
        <v>13500</v>
      </c>
      <c r="C28" s="213"/>
      <c r="D28" s="210"/>
      <c r="F28" s="231"/>
    </row>
    <row r="29" spans="1:6" x14ac:dyDescent="0.25">
      <c r="A29" s="154" t="s">
        <v>34</v>
      </c>
      <c r="B29" s="155">
        <f>B17*B26</f>
        <v>270</v>
      </c>
      <c r="C29" s="213"/>
      <c r="D29" s="210"/>
      <c r="F29" s="231"/>
    </row>
    <row r="30" spans="1:6" x14ac:dyDescent="0.25">
      <c r="A30" s="138" t="s">
        <v>201</v>
      </c>
      <c r="B30" s="153">
        <f>'SHEET A'!C37</f>
        <v>2.6999999999999997</v>
      </c>
      <c r="C30" s="213"/>
      <c r="D30" s="210"/>
      <c r="F30" s="231"/>
    </row>
    <row r="31" spans="1:6" x14ac:dyDescent="0.25">
      <c r="A31" s="154" t="s">
        <v>123</v>
      </c>
      <c r="B31" s="155">
        <f>B10*B30</f>
        <v>270</v>
      </c>
      <c r="C31" s="213"/>
      <c r="D31" s="210"/>
      <c r="F31" s="231"/>
    </row>
    <row r="32" spans="1:6" ht="15.75" thickBot="1" x14ac:dyDescent="0.3">
      <c r="A32" s="141" t="s">
        <v>37</v>
      </c>
      <c r="B32" s="156">
        <f>B27+B28+B29+B31</f>
        <v>14310</v>
      </c>
      <c r="C32" s="214"/>
      <c r="D32" s="211"/>
      <c r="F32" s="232"/>
    </row>
    <row r="33" spans="1:6" x14ac:dyDescent="0.25">
      <c r="A33" s="39" t="s">
        <v>126</v>
      </c>
      <c r="B33" s="88">
        <f>B13+B22+B32</f>
        <v>18747</v>
      </c>
      <c r="C33" s="11"/>
      <c r="D33" s="11"/>
      <c r="F33" s="169"/>
    </row>
    <row r="34" spans="1:6" ht="15.75" thickBot="1" x14ac:dyDescent="0.3">
      <c r="A34" s="24" t="s">
        <v>27</v>
      </c>
      <c r="B34" s="1"/>
      <c r="C34" s="16"/>
      <c r="D34" s="16"/>
    </row>
    <row r="35" spans="1:6" x14ac:dyDescent="0.25">
      <c r="A35" s="25" t="s">
        <v>44</v>
      </c>
      <c r="B35" s="87">
        <f>'SHEET A'!C12</f>
        <v>0.06</v>
      </c>
      <c r="C35" s="215">
        <v>6</v>
      </c>
      <c r="D35" s="218">
        <v>0.5</v>
      </c>
      <c r="F35" s="206" t="s">
        <v>144</v>
      </c>
    </row>
    <row r="36" spans="1:6" x14ac:dyDescent="0.25">
      <c r="A36" s="26" t="s">
        <v>35</v>
      </c>
      <c r="B36" s="27">
        <v>100</v>
      </c>
      <c r="C36" s="216"/>
      <c r="D36" s="219"/>
      <c r="F36" s="207"/>
    </row>
    <row r="37" spans="1:6" x14ac:dyDescent="0.25">
      <c r="A37" s="26" t="s">
        <v>199</v>
      </c>
      <c r="B37" s="27">
        <v>60</v>
      </c>
      <c r="C37" s="216"/>
      <c r="D37" s="219"/>
      <c r="F37" s="207"/>
    </row>
    <row r="38" spans="1:6" x14ac:dyDescent="0.25">
      <c r="A38" s="26" t="s">
        <v>7</v>
      </c>
      <c r="B38" s="27">
        <f>B36*B37</f>
        <v>6000</v>
      </c>
      <c r="C38" s="216"/>
      <c r="D38" s="219"/>
      <c r="F38" s="207"/>
    </row>
    <row r="39" spans="1:6" ht="15.75" thickBot="1" x14ac:dyDescent="0.3">
      <c r="A39" s="28" t="s">
        <v>28</v>
      </c>
      <c r="B39" s="86">
        <f>B35*B38</f>
        <v>360</v>
      </c>
      <c r="C39" s="217"/>
      <c r="D39" s="220"/>
      <c r="F39" s="207"/>
    </row>
    <row r="40" spans="1:6" ht="15.75" thickBot="1" x14ac:dyDescent="0.3">
      <c r="A40" s="135" t="s">
        <v>121</v>
      </c>
      <c r="B40" s="1"/>
      <c r="D40" s="3"/>
      <c r="F40" s="207"/>
    </row>
    <row r="41" spans="1:6" x14ac:dyDescent="0.25">
      <c r="A41" s="136" t="s">
        <v>8</v>
      </c>
      <c r="B41" s="137">
        <v>3</v>
      </c>
      <c r="C41" s="212">
        <v>4</v>
      </c>
      <c r="D41" s="209">
        <v>0.33333333333333331</v>
      </c>
      <c r="F41" s="207"/>
    </row>
    <row r="42" spans="1:6" x14ac:dyDescent="0.25">
      <c r="A42" s="138" t="s">
        <v>10</v>
      </c>
      <c r="B42" s="139">
        <v>15</v>
      </c>
      <c r="C42" s="213"/>
      <c r="D42" s="210"/>
      <c r="F42" s="207"/>
    </row>
    <row r="43" spans="1:6" x14ac:dyDescent="0.25">
      <c r="A43" s="138" t="s">
        <v>11</v>
      </c>
      <c r="B43" s="139">
        <f>B36*B41*B42</f>
        <v>4500</v>
      </c>
      <c r="C43" s="213"/>
      <c r="D43" s="210"/>
      <c r="F43" s="207"/>
    </row>
    <row r="44" spans="1:6" x14ac:dyDescent="0.25">
      <c r="A44" s="138" t="s">
        <v>12</v>
      </c>
      <c r="B44" s="153">
        <f>'SHEET A'!C31</f>
        <v>0.12</v>
      </c>
      <c r="C44" s="213"/>
      <c r="D44" s="210"/>
      <c r="F44" s="207"/>
    </row>
    <row r="45" spans="1:6" x14ac:dyDescent="0.25">
      <c r="A45" s="138" t="s">
        <v>138</v>
      </c>
      <c r="B45" s="139">
        <f>B43*0.05</f>
        <v>225</v>
      </c>
      <c r="C45" s="213"/>
      <c r="D45" s="210"/>
      <c r="F45" s="207"/>
    </row>
    <row r="46" spans="1:6" x14ac:dyDescent="0.25">
      <c r="A46" s="154" t="s">
        <v>13</v>
      </c>
      <c r="B46" s="155">
        <f>B45*B44</f>
        <v>27</v>
      </c>
      <c r="C46" s="213"/>
      <c r="D46" s="210"/>
      <c r="F46" s="207"/>
    </row>
    <row r="47" spans="1:6" x14ac:dyDescent="0.25">
      <c r="A47" s="138" t="s">
        <v>36</v>
      </c>
      <c r="B47" s="153">
        <f>'SHEET A'!C30</f>
        <v>0.89999999999999991</v>
      </c>
      <c r="C47" s="213"/>
      <c r="D47" s="210"/>
      <c r="F47" s="207"/>
    </row>
    <row r="48" spans="1:6" ht="15.75" thickBot="1" x14ac:dyDescent="0.3">
      <c r="A48" s="141" t="s">
        <v>29</v>
      </c>
      <c r="B48" s="156">
        <f>B43*B47+(B46)</f>
        <v>4076.9999999999995</v>
      </c>
      <c r="C48" s="214"/>
      <c r="D48" s="211"/>
      <c r="F48" s="207"/>
    </row>
    <row r="49" spans="1:6" ht="15.75" thickBot="1" x14ac:dyDescent="0.3">
      <c r="A49" s="135" t="s">
        <v>122</v>
      </c>
      <c r="B49" s="1"/>
      <c r="D49" s="3"/>
      <c r="F49" s="207"/>
    </row>
    <row r="50" spans="1:6" x14ac:dyDescent="0.25">
      <c r="A50" s="136" t="s">
        <v>14</v>
      </c>
      <c r="B50" s="157">
        <f>'SHEET A'!C33</f>
        <v>0.06</v>
      </c>
      <c r="C50" s="212">
        <v>92</v>
      </c>
      <c r="D50" s="209">
        <v>7.666666666666667</v>
      </c>
      <c r="F50" s="207"/>
    </row>
    <row r="51" spans="1:6" x14ac:dyDescent="0.25">
      <c r="A51" s="138" t="s">
        <v>31</v>
      </c>
      <c r="B51" s="153">
        <f>'SHEET A'!C35</f>
        <v>3</v>
      </c>
      <c r="C51" s="213"/>
      <c r="D51" s="210"/>
      <c r="F51" s="207"/>
    </row>
    <row r="52" spans="1:6" x14ac:dyDescent="0.25">
      <c r="A52" s="138" t="s">
        <v>30</v>
      </c>
      <c r="B52" s="153">
        <f>'SHEET A'!C36</f>
        <v>0.06</v>
      </c>
      <c r="C52" s="213"/>
      <c r="D52" s="210"/>
      <c r="F52" s="207"/>
    </row>
    <row r="53" spans="1:6" x14ac:dyDescent="0.25">
      <c r="A53" s="154" t="s">
        <v>32</v>
      </c>
      <c r="B53" s="155">
        <f>B43*B50</f>
        <v>270</v>
      </c>
      <c r="C53" s="213"/>
      <c r="D53" s="210"/>
      <c r="F53" s="207"/>
    </row>
    <row r="54" spans="1:6" x14ac:dyDescent="0.25">
      <c r="A54" s="154" t="s">
        <v>33</v>
      </c>
      <c r="B54" s="155">
        <f>B43*B51</f>
        <v>13500</v>
      </c>
      <c r="C54" s="213"/>
      <c r="D54" s="210"/>
      <c r="F54" s="207"/>
    </row>
    <row r="55" spans="1:6" x14ac:dyDescent="0.25">
      <c r="A55" s="154" t="s">
        <v>34</v>
      </c>
      <c r="B55" s="155">
        <f>B43*B52</f>
        <v>270</v>
      </c>
      <c r="C55" s="213"/>
      <c r="D55" s="210"/>
      <c r="F55" s="207"/>
    </row>
    <row r="56" spans="1:6" x14ac:dyDescent="0.25">
      <c r="A56" s="138" t="s">
        <v>201</v>
      </c>
      <c r="B56" s="153">
        <f>'SHEET A'!C37</f>
        <v>2.6999999999999997</v>
      </c>
      <c r="C56" s="213"/>
      <c r="D56" s="210"/>
      <c r="F56" s="207"/>
    </row>
    <row r="57" spans="1:6" x14ac:dyDescent="0.25">
      <c r="A57" s="154" t="s">
        <v>123</v>
      </c>
      <c r="B57" s="155">
        <f>B36*B56</f>
        <v>270</v>
      </c>
      <c r="C57" s="213"/>
      <c r="D57" s="210"/>
      <c r="F57" s="207"/>
    </row>
    <row r="58" spans="1:6" ht="15.75" thickBot="1" x14ac:dyDescent="0.3">
      <c r="A58" s="141" t="s">
        <v>37</v>
      </c>
      <c r="B58" s="156">
        <f>B53+B54+B55+B57</f>
        <v>14310</v>
      </c>
      <c r="C58" s="214"/>
      <c r="D58" s="211"/>
      <c r="F58" s="208"/>
    </row>
    <row r="59" spans="1:6" x14ac:dyDescent="0.25">
      <c r="A59" s="39" t="s">
        <v>127</v>
      </c>
      <c r="B59" s="88">
        <f>B39+B48+B58</f>
        <v>18747</v>
      </c>
      <c r="D59" s="40"/>
    </row>
    <row r="60" spans="1:6" ht="18.75" x14ac:dyDescent="0.25">
      <c r="A60" s="45" t="s">
        <v>38</v>
      </c>
      <c r="B60" s="89">
        <f>B7+B33+B59</f>
        <v>46674</v>
      </c>
      <c r="C60" s="46">
        <v>204</v>
      </c>
      <c r="D60" s="46">
        <v>17</v>
      </c>
    </row>
    <row r="61" spans="1:6" ht="18.75" x14ac:dyDescent="0.25">
      <c r="D61" s="46" t="s">
        <v>1</v>
      </c>
    </row>
    <row r="62" spans="1:6" x14ac:dyDescent="0.25">
      <c r="B62" s="90"/>
    </row>
  </sheetData>
  <mergeCells count="17">
    <mergeCell ref="C24:C32"/>
    <mergeCell ref="C3:C6"/>
    <mergeCell ref="D3:D6"/>
    <mergeCell ref="F3:F6"/>
    <mergeCell ref="F9:F32"/>
    <mergeCell ref="C15:C22"/>
    <mergeCell ref="D15:D22"/>
    <mergeCell ref="D9:D13"/>
    <mergeCell ref="C9:C13"/>
    <mergeCell ref="D24:D32"/>
    <mergeCell ref="F35:F58"/>
    <mergeCell ref="D41:D48"/>
    <mergeCell ref="C41:C48"/>
    <mergeCell ref="D50:D58"/>
    <mergeCell ref="C50:C58"/>
    <mergeCell ref="C35:C39"/>
    <mergeCell ref="D35:D39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68"/>
  <sheetViews>
    <sheetView showGridLines="0" zoomScale="130" zoomScaleNormal="130" workbookViewId="0">
      <pane ySplit="1" topLeftCell="A149" activePane="bottomLeft" state="frozen"/>
      <selection pane="bottomLeft" activeCell="B22" sqref="B22"/>
    </sheetView>
  </sheetViews>
  <sheetFormatPr defaultRowHeight="15" x14ac:dyDescent="0.25"/>
  <cols>
    <col min="1" max="1" width="120.85546875" style="47" customWidth="1"/>
    <col min="2" max="2" width="22.7109375" style="47" bestFit="1" customWidth="1"/>
    <col min="3" max="3" width="12.28515625" style="49" bestFit="1" customWidth="1"/>
    <col min="4" max="4" width="12" style="44" customWidth="1"/>
    <col min="5" max="5" width="3.42578125" style="7" customWidth="1"/>
    <col min="6" max="6" width="14.140625" style="7" customWidth="1"/>
    <col min="7" max="7" width="19.5703125" style="7" bestFit="1" customWidth="1"/>
    <col min="8" max="8" width="9.140625" style="7"/>
    <col min="9" max="9" width="9.140625" style="17"/>
    <col min="10" max="16384" width="9.140625" style="7"/>
  </cols>
  <sheetData>
    <row r="1" spans="1:9" ht="18.75" x14ac:dyDescent="0.25">
      <c r="A1" s="81" t="s">
        <v>4</v>
      </c>
      <c r="B1" s="82" t="s">
        <v>3</v>
      </c>
      <c r="C1" s="83" t="s">
        <v>2</v>
      </c>
      <c r="D1" s="83" t="s">
        <v>1</v>
      </c>
      <c r="I1" s="7"/>
    </row>
    <row r="2" spans="1:9" ht="15.75" thickBot="1" x14ac:dyDescent="0.3">
      <c r="A2" s="18" t="s">
        <v>56</v>
      </c>
      <c r="B2" s="7"/>
      <c r="C2" s="16"/>
      <c r="D2" s="16"/>
    </row>
    <row r="3" spans="1:9" x14ac:dyDescent="0.25">
      <c r="A3" s="19" t="s">
        <v>139</v>
      </c>
      <c r="B3" s="20">
        <v>3000</v>
      </c>
      <c r="C3" s="221">
        <v>0</v>
      </c>
      <c r="D3" s="224">
        <v>0</v>
      </c>
      <c r="F3" s="227" t="s">
        <v>153</v>
      </c>
    </row>
    <row r="4" spans="1:9" x14ac:dyDescent="0.25">
      <c r="A4" s="58" t="s">
        <v>31</v>
      </c>
      <c r="B4" s="97">
        <f>'SHEET A'!C35</f>
        <v>3</v>
      </c>
      <c r="C4" s="222"/>
      <c r="D4" s="225"/>
      <c r="F4" s="228"/>
    </row>
    <row r="5" spans="1:9" x14ac:dyDescent="0.25">
      <c r="A5" s="58" t="s">
        <v>30</v>
      </c>
      <c r="B5" s="97">
        <f>'SHEET A'!C36</f>
        <v>0.06</v>
      </c>
      <c r="C5" s="222"/>
      <c r="D5" s="225"/>
      <c r="F5" s="228"/>
    </row>
    <row r="6" spans="1:9" x14ac:dyDescent="0.25">
      <c r="A6" s="21" t="s">
        <v>5</v>
      </c>
      <c r="B6" s="91">
        <f>'SHEET A'!C15</f>
        <v>24</v>
      </c>
      <c r="C6" s="222"/>
      <c r="D6" s="225"/>
      <c r="F6" s="228"/>
    </row>
    <row r="7" spans="1:9" x14ac:dyDescent="0.25">
      <c r="A7" s="22" t="s">
        <v>50</v>
      </c>
      <c r="B7" s="92">
        <f>B3*B6</f>
        <v>72000</v>
      </c>
      <c r="C7" s="222"/>
      <c r="D7" s="225"/>
      <c r="F7" s="228"/>
    </row>
    <row r="8" spans="1:9" ht="15.75" thickBot="1" x14ac:dyDescent="0.3">
      <c r="A8" s="23" t="s">
        <v>51</v>
      </c>
      <c r="B8" s="134">
        <f>B3*(B4+B5)</f>
        <v>9180</v>
      </c>
      <c r="C8" s="223"/>
      <c r="D8" s="226"/>
      <c r="F8" s="229"/>
    </row>
    <row r="9" spans="1:9" ht="15.75" thickBot="1" x14ac:dyDescent="0.3">
      <c r="A9" s="132" t="s">
        <v>113</v>
      </c>
      <c r="B9" s="133">
        <f>B7+B8</f>
        <v>81180</v>
      </c>
      <c r="C9" s="7"/>
      <c r="D9" s="7"/>
      <c r="F9" s="170"/>
    </row>
    <row r="10" spans="1:9" ht="15.75" thickBot="1" x14ac:dyDescent="0.3">
      <c r="A10" s="24" t="s">
        <v>27</v>
      </c>
      <c r="B10" s="100"/>
      <c r="C10" s="16"/>
      <c r="D10" s="16"/>
    </row>
    <row r="11" spans="1:9" ht="14.25" customHeight="1" x14ac:dyDescent="0.25">
      <c r="A11" s="25" t="s">
        <v>6</v>
      </c>
      <c r="B11" s="93">
        <f>'SHEET A'!C12</f>
        <v>0.06</v>
      </c>
      <c r="C11" s="215">
        <v>3</v>
      </c>
      <c r="D11" s="218">
        <f>C11/12</f>
        <v>0.25</v>
      </c>
      <c r="F11" s="206" t="s">
        <v>144</v>
      </c>
    </row>
    <row r="12" spans="1:9" ht="14.25" customHeight="1" x14ac:dyDescent="0.25">
      <c r="A12" s="26" t="s">
        <v>202</v>
      </c>
      <c r="B12" s="158">
        <f>'SHEET A'!C37</f>
        <v>2.6999999999999997</v>
      </c>
      <c r="C12" s="216"/>
      <c r="D12" s="219"/>
      <c r="F12" s="207"/>
    </row>
    <row r="13" spans="1:9" ht="14.25" customHeight="1" x14ac:dyDescent="0.25">
      <c r="A13" s="26" t="s">
        <v>203</v>
      </c>
      <c r="B13" s="27">
        <v>100</v>
      </c>
      <c r="C13" s="216"/>
      <c r="D13" s="219"/>
      <c r="F13" s="207"/>
    </row>
    <row r="14" spans="1:9" ht="14.25" customHeight="1" x14ac:dyDescent="0.25">
      <c r="A14" s="26" t="s">
        <v>204</v>
      </c>
      <c r="B14" s="27">
        <v>30</v>
      </c>
      <c r="C14" s="216"/>
      <c r="D14" s="219"/>
      <c r="F14" s="207"/>
    </row>
    <row r="15" spans="1:9" ht="14.25" customHeight="1" x14ac:dyDescent="0.25">
      <c r="A15" s="26" t="s">
        <v>205</v>
      </c>
      <c r="B15" s="27">
        <f>B13*B14</f>
        <v>3000</v>
      </c>
      <c r="C15" s="216"/>
      <c r="D15" s="219"/>
      <c r="F15" s="207"/>
    </row>
    <row r="16" spans="1:9" ht="15.75" thickBot="1" x14ac:dyDescent="0.3">
      <c r="A16" s="28" t="s">
        <v>157</v>
      </c>
      <c r="B16" s="94">
        <f>(B11*B15)+(B12*B13)</f>
        <v>450</v>
      </c>
      <c r="C16" s="217"/>
      <c r="D16" s="220"/>
      <c r="F16" s="207"/>
    </row>
    <row r="17" spans="1:9" ht="15.75" thickBot="1" x14ac:dyDescent="0.3">
      <c r="A17" s="24" t="s">
        <v>158</v>
      </c>
      <c r="B17" s="12"/>
      <c r="C17" s="29"/>
      <c r="D17" s="29"/>
      <c r="F17" s="207"/>
    </row>
    <row r="18" spans="1:9" ht="15" customHeight="1" x14ac:dyDescent="0.25">
      <c r="A18" s="25" t="s">
        <v>106</v>
      </c>
      <c r="B18" s="114">
        <v>100</v>
      </c>
      <c r="C18" s="215">
        <v>3</v>
      </c>
      <c r="D18" s="218">
        <f>C18/12</f>
        <v>0.25</v>
      </c>
      <c r="F18" s="207"/>
    </row>
    <row r="19" spans="1:9" ht="15" customHeight="1" x14ac:dyDescent="0.25">
      <c r="A19" s="26" t="s">
        <v>128</v>
      </c>
      <c r="B19" s="27">
        <v>20</v>
      </c>
      <c r="C19" s="216"/>
      <c r="D19" s="219"/>
      <c r="F19" s="207"/>
    </row>
    <row r="20" spans="1:9" ht="14.25" customHeight="1" x14ac:dyDescent="0.25">
      <c r="A20" s="26" t="s">
        <v>16</v>
      </c>
      <c r="B20" s="115">
        <f>'SHEET A'!C15</f>
        <v>24</v>
      </c>
      <c r="C20" s="216"/>
      <c r="D20" s="219"/>
      <c r="F20" s="207"/>
    </row>
    <row r="21" spans="1:9" x14ac:dyDescent="0.25">
      <c r="A21" s="26" t="s">
        <v>107</v>
      </c>
      <c r="B21" s="116">
        <f>B18*B20*B19</f>
        <v>48000</v>
      </c>
      <c r="C21" s="216"/>
      <c r="D21" s="219"/>
      <c r="F21" s="207"/>
    </row>
    <row r="22" spans="1:9" ht="14.25" customHeight="1" x14ac:dyDescent="0.25">
      <c r="A22" s="26" t="s">
        <v>108</v>
      </c>
      <c r="B22" s="27">
        <v>100</v>
      </c>
      <c r="C22" s="216"/>
      <c r="D22" s="219"/>
      <c r="F22" s="207"/>
    </row>
    <row r="23" spans="1:9" x14ac:dyDescent="0.25">
      <c r="A23" s="122" t="s">
        <v>198</v>
      </c>
      <c r="B23" s="121">
        <f>(B19*B13)</f>
        <v>2000</v>
      </c>
      <c r="C23" s="216"/>
      <c r="D23" s="219"/>
      <c r="F23" s="207"/>
      <c r="I23" s="7"/>
    </row>
    <row r="24" spans="1:9" ht="15.75" thickBot="1" x14ac:dyDescent="0.3">
      <c r="A24" s="28" t="s">
        <v>206</v>
      </c>
      <c r="B24" s="94">
        <f>'SHEET A'!C32*B23</f>
        <v>960</v>
      </c>
      <c r="C24" s="111"/>
      <c r="D24" s="112"/>
      <c r="F24" s="207"/>
      <c r="I24" s="7"/>
    </row>
    <row r="25" spans="1:9" ht="15.75" thickBot="1" x14ac:dyDescent="0.3">
      <c r="A25" s="24" t="s">
        <v>92</v>
      </c>
      <c r="B25" s="12"/>
      <c r="C25" s="29"/>
      <c r="D25" s="29"/>
      <c r="F25" s="207"/>
    </row>
    <row r="26" spans="1:9" ht="14.25" customHeight="1" x14ac:dyDescent="0.25">
      <c r="A26" s="25" t="s">
        <v>39</v>
      </c>
      <c r="B26" s="114">
        <v>100</v>
      </c>
      <c r="C26" s="215">
        <v>12</v>
      </c>
      <c r="D26" s="218">
        <f>C26/12</f>
        <v>1</v>
      </c>
      <c r="F26" s="207"/>
      <c r="I26" s="7"/>
    </row>
    <row r="27" spans="1:9" ht="14.25" customHeight="1" x14ac:dyDescent="0.25">
      <c r="A27" s="26" t="s">
        <v>93</v>
      </c>
      <c r="B27" s="117">
        <f>'SHEET A'!C13</f>
        <v>0.15</v>
      </c>
      <c r="C27" s="216"/>
      <c r="D27" s="219"/>
      <c r="F27" s="207"/>
      <c r="I27" s="7"/>
    </row>
    <row r="28" spans="1:9" ht="14.25" customHeight="1" x14ac:dyDescent="0.25">
      <c r="A28" s="26" t="s">
        <v>207</v>
      </c>
      <c r="B28" s="27">
        <v>5</v>
      </c>
      <c r="C28" s="216"/>
      <c r="D28" s="219"/>
      <c r="F28" s="207"/>
      <c r="I28" s="7"/>
    </row>
    <row r="29" spans="1:9" ht="14.25" customHeight="1" thickBot="1" x14ac:dyDescent="0.3">
      <c r="A29" s="28" t="s">
        <v>94</v>
      </c>
      <c r="B29" s="94">
        <f>(B26*B27)*B28</f>
        <v>75</v>
      </c>
      <c r="C29" s="217"/>
      <c r="D29" s="220"/>
      <c r="F29" s="207"/>
      <c r="I29" s="7"/>
    </row>
    <row r="30" spans="1:9" ht="15.75" thickBot="1" x14ac:dyDescent="0.3">
      <c r="A30" s="118" t="s">
        <v>115</v>
      </c>
      <c r="B30" s="119">
        <f>+B16+B21+B24+B29</f>
        <v>49485</v>
      </c>
      <c r="C30" s="106"/>
      <c r="D30" s="40"/>
      <c r="F30" s="207"/>
      <c r="I30" s="7"/>
    </row>
    <row r="31" spans="1:9" ht="14.25" customHeight="1" thickBot="1" x14ac:dyDescent="0.3">
      <c r="A31" s="135" t="s">
        <v>68</v>
      </c>
      <c r="B31" s="7"/>
      <c r="C31" s="17"/>
      <c r="D31" s="17"/>
      <c r="F31" s="207"/>
      <c r="I31" s="7"/>
    </row>
    <row r="32" spans="1:9" ht="14.25" customHeight="1" x14ac:dyDescent="0.25">
      <c r="A32" s="136" t="s">
        <v>39</v>
      </c>
      <c r="B32" s="137">
        <v>100</v>
      </c>
      <c r="C32" s="212">
        <v>48</v>
      </c>
      <c r="D32" s="209">
        <f>C32/12</f>
        <v>4</v>
      </c>
      <c r="F32" s="207"/>
      <c r="I32" s="7"/>
    </row>
    <row r="33" spans="1:9" ht="14.25" customHeight="1" x14ac:dyDescent="0.25">
      <c r="A33" s="138" t="s">
        <v>230</v>
      </c>
      <c r="B33" s="139">
        <v>5</v>
      </c>
      <c r="C33" s="213"/>
      <c r="D33" s="210"/>
      <c r="F33" s="207"/>
      <c r="I33" s="7"/>
    </row>
    <row r="34" spans="1:9" ht="14.25" customHeight="1" x14ac:dyDescent="0.25">
      <c r="A34" s="138" t="s">
        <v>17</v>
      </c>
      <c r="B34" s="139">
        <f>+B32*B33</f>
        <v>500</v>
      </c>
      <c r="C34" s="213"/>
      <c r="D34" s="210"/>
      <c r="F34" s="207"/>
      <c r="I34" s="7"/>
    </row>
    <row r="35" spans="1:9" ht="14.25" customHeight="1" x14ac:dyDescent="0.25">
      <c r="A35" s="138" t="s">
        <v>231</v>
      </c>
      <c r="B35" s="140">
        <f>'SHEET A'!C17*B34</f>
        <v>150</v>
      </c>
      <c r="C35" s="213"/>
      <c r="D35" s="210"/>
      <c r="F35" s="207"/>
      <c r="I35" s="7"/>
    </row>
    <row r="36" spans="1:9" ht="14.25" customHeight="1" x14ac:dyDescent="0.25">
      <c r="A36" s="138" t="s">
        <v>143</v>
      </c>
      <c r="B36" s="140">
        <f>'SHEET A'!C18*B34*4</f>
        <v>2400</v>
      </c>
      <c r="C36" s="213"/>
      <c r="D36" s="210"/>
      <c r="F36" s="207"/>
      <c r="I36" s="7"/>
    </row>
    <row r="37" spans="1:9" ht="14.25" customHeight="1" x14ac:dyDescent="0.25">
      <c r="A37" s="154" t="s">
        <v>140</v>
      </c>
      <c r="B37" s="159">
        <f>B35+B36</f>
        <v>2550</v>
      </c>
      <c r="C37" s="213"/>
      <c r="D37" s="210"/>
      <c r="F37" s="207"/>
      <c r="I37" s="7"/>
    </row>
    <row r="38" spans="1:9" ht="14.25" customHeight="1" x14ac:dyDescent="0.25">
      <c r="A38" s="138" t="s">
        <v>18</v>
      </c>
      <c r="B38" s="139">
        <v>100</v>
      </c>
      <c r="C38" s="213"/>
      <c r="D38" s="210"/>
      <c r="F38" s="207"/>
      <c r="I38" s="7"/>
    </row>
    <row r="39" spans="1:9" ht="14.25" customHeight="1" x14ac:dyDescent="0.25">
      <c r="A39" s="138" t="s">
        <v>42</v>
      </c>
      <c r="B39" s="140">
        <f>'SHEET A'!C23</f>
        <v>1.7999999999999998</v>
      </c>
      <c r="C39" s="213"/>
      <c r="D39" s="210"/>
      <c r="F39" s="207"/>
      <c r="I39" s="7"/>
    </row>
    <row r="40" spans="1:9" ht="14.25" customHeight="1" x14ac:dyDescent="0.25">
      <c r="A40" s="154" t="s">
        <v>131</v>
      </c>
      <c r="B40" s="159">
        <f>B39*B38</f>
        <v>179.99999999999997</v>
      </c>
      <c r="C40" s="213"/>
      <c r="D40" s="210"/>
      <c r="F40" s="207"/>
      <c r="I40" s="7"/>
    </row>
    <row r="41" spans="1:9" ht="14.25" customHeight="1" thickBot="1" x14ac:dyDescent="0.3">
      <c r="A41" s="141" t="s">
        <v>43</v>
      </c>
      <c r="B41" s="142">
        <f>B40+B37</f>
        <v>2730</v>
      </c>
      <c r="C41" s="214"/>
      <c r="D41" s="211"/>
      <c r="F41" s="208"/>
      <c r="I41" s="7"/>
    </row>
    <row r="42" spans="1:9" ht="15.75" thickBot="1" x14ac:dyDescent="0.3">
      <c r="A42" s="118" t="s">
        <v>115</v>
      </c>
      <c r="B42" s="119">
        <f>+B30+B41</f>
        <v>52215</v>
      </c>
      <c r="C42" s="106"/>
      <c r="D42" s="40"/>
      <c r="F42" s="171"/>
      <c r="I42" s="7"/>
    </row>
    <row r="43" spans="1:9" ht="15.75" thickBot="1" x14ac:dyDescent="0.3">
      <c r="A43" s="24" t="s">
        <v>87</v>
      </c>
      <c r="B43" s="100"/>
      <c r="C43" s="16"/>
      <c r="D43" s="16"/>
    </row>
    <row r="44" spans="1:9" ht="14.25" customHeight="1" x14ac:dyDescent="0.25">
      <c r="A44" s="25" t="s">
        <v>141</v>
      </c>
      <c r="B44" s="93">
        <f>'SHEET A'!C12</f>
        <v>0.06</v>
      </c>
      <c r="C44" s="215">
        <v>3</v>
      </c>
      <c r="D44" s="218">
        <f>C44/12</f>
        <v>0.25</v>
      </c>
      <c r="F44" s="206" t="s">
        <v>145</v>
      </c>
      <c r="I44" s="7"/>
    </row>
    <row r="45" spans="1:9" ht="14.25" customHeight="1" x14ac:dyDescent="0.25">
      <c r="A45" s="26" t="s">
        <v>147</v>
      </c>
      <c r="B45" s="27">
        <v>100</v>
      </c>
      <c r="C45" s="216"/>
      <c r="D45" s="219"/>
      <c r="F45" s="207"/>
      <c r="I45" s="7"/>
    </row>
    <row r="46" spans="1:9" ht="14.25" customHeight="1" x14ac:dyDescent="0.25">
      <c r="A46" s="26" t="s">
        <v>208</v>
      </c>
      <c r="B46" s="27">
        <v>30</v>
      </c>
      <c r="C46" s="216"/>
      <c r="D46" s="219"/>
      <c r="F46" s="207"/>
      <c r="I46" s="7"/>
    </row>
    <row r="47" spans="1:9" ht="14.25" customHeight="1" x14ac:dyDescent="0.25">
      <c r="A47" s="26" t="s">
        <v>9</v>
      </c>
      <c r="B47" s="27">
        <f>B45*B46</f>
        <v>3000</v>
      </c>
      <c r="C47" s="216"/>
      <c r="D47" s="219"/>
      <c r="F47" s="207"/>
      <c r="I47" s="7"/>
    </row>
    <row r="48" spans="1:9" ht="15.75" thickBot="1" x14ac:dyDescent="0.3">
      <c r="A48" s="28" t="s">
        <v>142</v>
      </c>
      <c r="B48" s="94">
        <f>B44*B47</f>
        <v>180</v>
      </c>
      <c r="C48" s="217"/>
      <c r="D48" s="220"/>
      <c r="F48" s="207"/>
      <c r="I48" s="7"/>
    </row>
    <row r="49" spans="1:9" ht="15.75" thickBot="1" x14ac:dyDescent="0.3">
      <c r="A49" s="24" t="s">
        <v>88</v>
      </c>
      <c r="B49" s="12"/>
      <c r="C49" s="29"/>
      <c r="D49" s="29"/>
      <c r="F49" s="207"/>
    </row>
    <row r="50" spans="1:9" ht="15" customHeight="1" x14ac:dyDescent="0.25">
      <c r="A50" s="25" t="s">
        <v>148</v>
      </c>
      <c r="B50" s="114">
        <v>100</v>
      </c>
      <c r="C50" s="215">
        <v>3</v>
      </c>
      <c r="D50" s="218">
        <f>C50/12</f>
        <v>0.25</v>
      </c>
      <c r="F50" s="207"/>
      <c r="I50" s="7"/>
    </row>
    <row r="51" spans="1:9" ht="15" customHeight="1" x14ac:dyDescent="0.25">
      <c r="A51" s="26" t="s">
        <v>209</v>
      </c>
      <c r="B51" s="27">
        <v>20</v>
      </c>
      <c r="C51" s="216"/>
      <c r="D51" s="219"/>
      <c r="F51" s="207"/>
      <c r="I51" s="7"/>
    </row>
    <row r="52" spans="1:9" ht="14.25" customHeight="1" x14ac:dyDescent="0.25">
      <c r="A52" s="26" t="s">
        <v>16</v>
      </c>
      <c r="B52" s="115">
        <f>'SHEET A'!C15</f>
        <v>24</v>
      </c>
      <c r="C52" s="216"/>
      <c r="D52" s="219"/>
      <c r="F52" s="207"/>
      <c r="I52" s="7"/>
    </row>
    <row r="53" spans="1:9" x14ac:dyDescent="0.25">
      <c r="A53" s="26" t="s">
        <v>107</v>
      </c>
      <c r="B53" s="116">
        <f>B50*B52*B51</f>
        <v>48000</v>
      </c>
      <c r="C53" s="216"/>
      <c r="D53" s="219"/>
      <c r="F53" s="207"/>
      <c r="I53" s="7"/>
    </row>
    <row r="54" spans="1:9" ht="14.25" customHeight="1" x14ac:dyDescent="0.25">
      <c r="A54" s="26" t="s">
        <v>108</v>
      </c>
      <c r="B54" s="27">
        <v>100</v>
      </c>
      <c r="C54" s="216"/>
      <c r="D54" s="219"/>
      <c r="F54" s="207"/>
      <c r="I54" s="7"/>
    </row>
    <row r="55" spans="1:9" x14ac:dyDescent="0.25">
      <c r="A55" s="122" t="s">
        <v>210</v>
      </c>
      <c r="B55" s="121">
        <f>(B51*B45)</f>
        <v>2000</v>
      </c>
      <c r="C55" s="216"/>
      <c r="D55" s="219"/>
      <c r="F55" s="207"/>
      <c r="I55" s="7"/>
    </row>
    <row r="56" spans="1:9" ht="15.75" thickBot="1" x14ac:dyDescent="0.3">
      <c r="A56" s="28" t="s">
        <v>206</v>
      </c>
      <c r="B56" s="94">
        <f>'SHEET A'!C32*B55</f>
        <v>960</v>
      </c>
      <c r="C56" s="176"/>
      <c r="D56" s="177"/>
      <c r="F56" s="207"/>
      <c r="I56" s="7"/>
    </row>
    <row r="57" spans="1:9" ht="15.75" thickBot="1" x14ac:dyDescent="0.3">
      <c r="A57" s="24" t="s">
        <v>89</v>
      </c>
      <c r="B57" s="12"/>
      <c r="C57" s="29"/>
      <c r="D57" s="29"/>
      <c r="F57" s="207"/>
    </row>
    <row r="58" spans="1:9" ht="14.25" customHeight="1" x14ac:dyDescent="0.25">
      <c r="A58" s="25" t="s">
        <v>39</v>
      </c>
      <c r="B58" s="114">
        <v>100</v>
      </c>
      <c r="C58" s="215">
        <v>12</v>
      </c>
      <c r="D58" s="218">
        <f>C58/12</f>
        <v>1</v>
      </c>
      <c r="F58" s="207"/>
    </row>
    <row r="59" spans="1:9" ht="14.25" customHeight="1" x14ac:dyDescent="0.25">
      <c r="A59" s="26" t="s">
        <v>93</v>
      </c>
      <c r="B59" s="117">
        <f>'SHEET A'!C13</f>
        <v>0.15</v>
      </c>
      <c r="C59" s="216"/>
      <c r="D59" s="219"/>
      <c r="F59" s="207"/>
    </row>
    <row r="60" spans="1:9" ht="14.25" customHeight="1" x14ac:dyDescent="0.25">
      <c r="A60" s="26" t="s">
        <v>95</v>
      </c>
      <c r="B60" s="27">
        <v>5</v>
      </c>
      <c r="C60" s="216"/>
      <c r="D60" s="219"/>
      <c r="F60" s="207"/>
    </row>
    <row r="61" spans="1:9" ht="15.75" thickBot="1" x14ac:dyDescent="0.3">
      <c r="A61" s="28" t="s">
        <v>94</v>
      </c>
      <c r="B61" s="94">
        <f>(B58*B59)*B60</f>
        <v>75</v>
      </c>
      <c r="C61" s="217"/>
      <c r="D61" s="220"/>
      <c r="F61" s="207"/>
    </row>
    <row r="62" spans="1:9" ht="15.75" thickBot="1" x14ac:dyDescent="0.3">
      <c r="A62" s="118" t="s">
        <v>115</v>
      </c>
      <c r="B62" s="119">
        <f>+B48+B53+B56+B61</f>
        <v>49215</v>
      </c>
      <c r="C62" s="106"/>
      <c r="D62" s="40"/>
      <c r="F62" s="207"/>
      <c r="I62" s="7"/>
    </row>
    <row r="63" spans="1:9" ht="15.75" thickBot="1" x14ac:dyDescent="0.3">
      <c r="A63" s="135" t="s">
        <v>45</v>
      </c>
      <c r="B63" s="7"/>
      <c r="C63" s="17"/>
      <c r="D63" s="17"/>
      <c r="F63" s="207"/>
    </row>
    <row r="64" spans="1:9" ht="14.25" customHeight="1" x14ac:dyDescent="0.25">
      <c r="A64" s="136" t="s">
        <v>39</v>
      </c>
      <c r="B64" s="137">
        <v>100</v>
      </c>
      <c r="C64" s="212">
        <f>48</f>
        <v>48</v>
      </c>
      <c r="D64" s="209">
        <f>C64/12</f>
        <v>4</v>
      </c>
      <c r="F64" s="207"/>
    </row>
    <row r="65" spans="1:9" ht="14.25" customHeight="1" x14ac:dyDescent="0.25">
      <c r="A65" s="138" t="s">
        <v>230</v>
      </c>
      <c r="B65" s="139">
        <v>5</v>
      </c>
      <c r="C65" s="213"/>
      <c r="D65" s="210"/>
      <c r="F65" s="207"/>
    </row>
    <row r="66" spans="1:9" ht="14.25" customHeight="1" x14ac:dyDescent="0.25">
      <c r="A66" s="138" t="s">
        <v>17</v>
      </c>
      <c r="B66" s="139">
        <f>+B64*B65</f>
        <v>500</v>
      </c>
      <c r="C66" s="213"/>
      <c r="D66" s="210"/>
      <c r="F66" s="207"/>
    </row>
    <row r="67" spans="1:9" ht="14.25" customHeight="1" x14ac:dyDescent="0.25">
      <c r="A67" s="138" t="s">
        <v>231</v>
      </c>
      <c r="B67" s="140">
        <f>'SHEET A'!C17*B66</f>
        <v>150</v>
      </c>
      <c r="C67" s="213"/>
      <c r="D67" s="210"/>
      <c r="F67" s="207"/>
    </row>
    <row r="68" spans="1:9" ht="14.25" customHeight="1" x14ac:dyDescent="0.25">
      <c r="A68" s="138" t="s">
        <v>143</v>
      </c>
      <c r="B68" s="140">
        <f>'SHEET A'!C18*B66*4</f>
        <v>2400</v>
      </c>
      <c r="C68" s="213"/>
      <c r="D68" s="210"/>
      <c r="F68" s="207"/>
    </row>
    <row r="69" spans="1:9" ht="14.25" customHeight="1" x14ac:dyDescent="0.25">
      <c r="A69" s="154" t="s">
        <v>140</v>
      </c>
      <c r="B69" s="159">
        <f>B67+B68</f>
        <v>2550</v>
      </c>
      <c r="C69" s="213"/>
      <c r="D69" s="210"/>
      <c r="F69" s="207"/>
    </row>
    <row r="70" spans="1:9" ht="14.25" customHeight="1" x14ac:dyDescent="0.25">
      <c r="A70" s="138" t="s">
        <v>18</v>
      </c>
      <c r="B70" s="139">
        <v>100</v>
      </c>
      <c r="C70" s="213"/>
      <c r="D70" s="210"/>
      <c r="F70" s="207"/>
      <c r="I70" s="7"/>
    </row>
    <row r="71" spans="1:9" ht="14.25" customHeight="1" x14ac:dyDescent="0.25">
      <c r="A71" s="138" t="s">
        <v>42</v>
      </c>
      <c r="B71" s="140">
        <f>'SHEET A'!C23</f>
        <v>1.7999999999999998</v>
      </c>
      <c r="C71" s="213"/>
      <c r="D71" s="210"/>
      <c r="F71" s="207"/>
    </row>
    <row r="72" spans="1:9" ht="14.25" customHeight="1" x14ac:dyDescent="0.25">
      <c r="A72" s="154" t="s">
        <v>131</v>
      </c>
      <c r="B72" s="159">
        <f>B71*B70</f>
        <v>179.99999999999997</v>
      </c>
      <c r="C72" s="213"/>
      <c r="D72" s="210"/>
      <c r="F72" s="207"/>
    </row>
    <row r="73" spans="1:9" ht="15.75" thickBot="1" x14ac:dyDescent="0.3">
      <c r="A73" s="141" t="s">
        <v>43</v>
      </c>
      <c r="B73" s="142">
        <f>B72+B69</f>
        <v>2730</v>
      </c>
      <c r="C73" s="214"/>
      <c r="D73" s="211"/>
      <c r="F73" s="208"/>
    </row>
    <row r="74" spans="1:9" ht="15.75" thickBot="1" x14ac:dyDescent="0.3">
      <c r="A74" s="118" t="s">
        <v>116</v>
      </c>
      <c r="B74" s="119">
        <f>+B62+B73</f>
        <v>51945</v>
      </c>
      <c r="C74" s="106"/>
      <c r="D74" s="40"/>
    </row>
    <row r="75" spans="1:9" ht="15.75" thickBot="1" x14ac:dyDescent="0.3">
      <c r="A75" s="24" t="s">
        <v>90</v>
      </c>
      <c r="B75" s="1"/>
      <c r="C75" s="16"/>
      <c r="D75" s="16"/>
    </row>
    <row r="76" spans="1:9" ht="14.25" customHeight="1" x14ac:dyDescent="0.25">
      <c r="A76" s="25" t="s">
        <v>141</v>
      </c>
      <c r="B76" s="93">
        <f>'SHEET A'!C12</f>
        <v>0.06</v>
      </c>
      <c r="C76" s="215">
        <v>3</v>
      </c>
      <c r="D76" s="218">
        <f>C76/12</f>
        <v>0.25</v>
      </c>
      <c r="F76" s="206" t="s">
        <v>146</v>
      </c>
    </row>
    <row r="77" spans="1:9" x14ac:dyDescent="0.25">
      <c r="A77" s="26" t="s">
        <v>149</v>
      </c>
      <c r="B77" s="27">
        <v>100</v>
      </c>
      <c r="C77" s="216"/>
      <c r="D77" s="219"/>
      <c r="F77" s="207"/>
    </row>
    <row r="78" spans="1:9" ht="14.25" customHeight="1" x14ac:dyDescent="0.25">
      <c r="A78" s="26" t="s">
        <v>211</v>
      </c>
      <c r="B78" s="27">
        <v>30</v>
      </c>
      <c r="C78" s="216"/>
      <c r="D78" s="219"/>
      <c r="F78" s="207"/>
    </row>
    <row r="79" spans="1:9" ht="14.25" customHeight="1" x14ac:dyDescent="0.25">
      <c r="A79" s="26" t="s">
        <v>9</v>
      </c>
      <c r="B79" s="27">
        <f>B77*B78</f>
        <v>3000</v>
      </c>
      <c r="C79" s="216"/>
      <c r="D79" s="219"/>
      <c r="F79" s="207"/>
    </row>
    <row r="80" spans="1:9" ht="15.75" thickBot="1" x14ac:dyDescent="0.3">
      <c r="A80" s="28" t="s">
        <v>142</v>
      </c>
      <c r="B80" s="94">
        <f>B76*B77*B78</f>
        <v>180</v>
      </c>
      <c r="C80" s="217"/>
      <c r="D80" s="220"/>
      <c r="F80" s="207"/>
    </row>
    <row r="81" spans="1:9" ht="15.75" thickBot="1" x14ac:dyDescent="0.3">
      <c r="A81" s="24" t="s">
        <v>49</v>
      </c>
      <c r="B81" s="12"/>
      <c r="C81" s="29"/>
      <c r="D81" s="29"/>
      <c r="F81" s="207"/>
    </row>
    <row r="82" spans="1:9" ht="14.25" customHeight="1" x14ac:dyDescent="0.25">
      <c r="A82" s="25" t="s">
        <v>106</v>
      </c>
      <c r="B82" s="114">
        <v>100</v>
      </c>
      <c r="C82" s="215">
        <v>3</v>
      </c>
      <c r="D82" s="218">
        <f>C82/12</f>
        <v>0.25</v>
      </c>
      <c r="F82" s="207"/>
    </row>
    <row r="83" spans="1:9" ht="14.25" customHeight="1" x14ac:dyDescent="0.25">
      <c r="A83" s="26" t="s">
        <v>128</v>
      </c>
      <c r="B83" s="27">
        <v>20</v>
      </c>
      <c r="C83" s="216"/>
      <c r="D83" s="219"/>
      <c r="F83" s="207"/>
    </row>
    <row r="84" spans="1:9" ht="14.25" customHeight="1" x14ac:dyDescent="0.25">
      <c r="A84" s="26" t="s">
        <v>16</v>
      </c>
      <c r="B84" s="115">
        <f>'SHEET A'!C15</f>
        <v>24</v>
      </c>
      <c r="C84" s="216"/>
      <c r="D84" s="219"/>
      <c r="F84" s="207"/>
    </row>
    <row r="85" spans="1:9" x14ac:dyDescent="0.25">
      <c r="A85" s="26" t="s">
        <v>107</v>
      </c>
      <c r="B85" s="116">
        <f>B82*B84*B83</f>
        <v>48000</v>
      </c>
      <c r="C85" s="216"/>
      <c r="D85" s="219"/>
      <c r="F85" s="207"/>
    </row>
    <row r="86" spans="1:9" ht="14.25" customHeight="1" x14ac:dyDescent="0.25">
      <c r="A86" s="26" t="s">
        <v>108</v>
      </c>
      <c r="B86" s="27">
        <v>100</v>
      </c>
      <c r="C86" s="216"/>
      <c r="D86" s="219"/>
      <c r="F86" s="207"/>
    </row>
    <row r="87" spans="1:9" x14ac:dyDescent="0.25">
      <c r="A87" s="122" t="s">
        <v>198</v>
      </c>
      <c r="B87" s="121">
        <f>(B82*B83)</f>
        <v>2000</v>
      </c>
      <c r="C87" s="216"/>
      <c r="D87" s="219"/>
      <c r="F87" s="207"/>
    </row>
    <row r="88" spans="1:9" ht="15.75" thickBot="1" x14ac:dyDescent="0.3">
      <c r="A88" s="28" t="s">
        <v>206</v>
      </c>
      <c r="B88" s="94">
        <f>'SHEET A'!C32*B87</f>
        <v>960</v>
      </c>
      <c r="C88" s="125"/>
      <c r="D88" s="126"/>
      <c r="F88" s="207"/>
    </row>
    <row r="89" spans="1:9" ht="15.75" thickBot="1" x14ac:dyDescent="0.3">
      <c r="A89" s="24" t="s">
        <v>91</v>
      </c>
      <c r="B89" s="12"/>
      <c r="C89" s="29"/>
      <c r="D89" s="29"/>
      <c r="F89" s="207"/>
    </row>
    <row r="90" spans="1:9" ht="14.25" customHeight="1" x14ac:dyDescent="0.25">
      <c r="A90" s="25" t="s">
        <v>39</v>
      </c>
      <c r="B90" s="114">
        <v>100</v>
      </c>
      <c r="C90" s="215">
        <v>12</v>
      </c>
      <c r="D90" s="218">
        <f>C90/12</f>
        <v>1</v>
      </c>
      <c r="F90" s="207"/>
    </row>
    <row r="91" spans="1:9" ht="14.25" customHeight="1" x14ac:dyDescent="0.25">
      <c r="A91" s="26" t="s">
        <v>52</v>
      </c>
      <c r="B91" s="117">
        <f>'SHEET A'!C13</f>
        <v>0.15</v>
      </c>
      <c r="C91" s="216"/>
      <c r="D91" s="219"/>
      <c r="F91" s="207"/>
    </row>
    <row r="92" spans="1:9" ht="14.25" customHeight="1" x14ac:dyDescent="0.25">
      <c r="A92" s="26" t="s">
        <v>40</v>
      </c>
      <c r="B92" s="27">
        <v>5</v>
      </c>
      <c r="C92" s="216"/>
      <c r="D92" s="219"/>
      <c r="F92" s="207"/>
    </row>
    <row r="93" spans="1:9" ht="15.75" thickBot="1" x14ac:dyDescent="0.3">
      <c r="A93" s="28" t="s">
        <v>96</v>
      </c>
      <c r="B93" s="94">
        <f>B90*B92*B91</f>
        <v>75</v>
      </c>
      <c r="C93" s="217"/>
      <c r="D93" s="220"/>
      <c r="F93" s="207"/>
    </row>
    <row r="94" spans="1:9" ht="15.75" thickBot="1" x14ac:dyDescent="0.3">
      <c r="A94" s="118" t="s">
        <v>115</v>
      </c>
      <c r="B94" s="119">
        <f>+B80+B85+B88+B93</f>
        <v>49215</v>
      </c>
      <c r="C94" s="106"/>
      <c r="D94" s="40"/>
      <c r="F94" s="207"/>
      <c r="I94" s="7"/>
    </row>
    <row r="95" spans="1:9" ht="15.75" thickBot="1" x14ac:dyDescent="0.3">
      <c r="A95" s="135" t="s">
        <v>46</v>
      </c>
      <c r="B95" s="7"/>
      <c r="C95" s="17"/>
      <c r="D95" s="17"/>
      <c r="F95" s="207"/>
      <c r="I95" s="7"/>
    </row>
    <row r="96" spans="1:9" ht="14.25" customHeight="1" x14ac:dyDescent="0.25">
      <c r="A96" s="136" t="s">
        <v>39</v>
      </c>
      <c r="B96" s="137">
        <v>100</v>
      </c>
      <c r="C96" s="212">
        <f>48</f>
        <v>48</v>
      </c>
      <c r="D96" s="209">
        <f>C96/12</f>
        <v>4</v>
      </c>
      <c r="F96" s="207"/>
      <c r="I96" s="7"/>
    </row>
    <row r="97" spans="1:10" ht="15" customHeight="1" x14ac:dyDescent="0.25">
      <c r="A97" s="138" t="s">
        <v>230</v>
      </c>
      <c r="B97" s="139">
        <v>5</v>
      </c>
      <c r="C97" s="213"/>
      <c r="D97" s="210"/>
      <c r="F97" s="207"/>
      <c r="I97" s="7"/>
    </row>
    <row r="98" spans="1:10" x14ac:dyDescent="0.25">
      <c r="A98" s="138" t="s">
        <v>17</v>
      </c>
      <c r="B98" s="139">
        <f>+B96*B97</f>
        <v>500</v>
      </c>
      <c r="C98" s="213"/>
      <c r="D98" s="210"/>
      <c r="F98" s="207"/>
    </row>
    <row r="99" spans="1:10" x14ac:dyDescent="0.25">
      <c r="A99" s="138" t="s">
        <v>231</v>
      </c>
      <c r="B99" s="140">
        <f>'SHEET A'!C21*B98</f>
        <v>150</v>
      </c>
      <c r="C99" s="213"/>
      <c r="D99" s="210"/>
      <c r="F99" s="207"/>
    </row>
    <row r="100" spans="1:10" x14ac:dyDescent="0.25">
      <c r="A100" s="138" t="s">
        <v>143</v>
      </c>
      <c r="B100" s="140">
        <f>'SHEET A'!C18*B98*4</f>
        <v>2400</v>
      </c>
      <c r="C100" s="213"/>
      <c r="D100" s="210"/>
      <c r="F100" s="207"/>
    </row>
    <row r="101" spans="1:10" x14ac:dyDescent="0.25">
      <c r="A101" s="154" t="s">
        <v>140</v>
      </c>
      <c r="B101" s="159">
        <f>B99+B100</f>
        <v>2550</v>
      </c>
      <c r="C101" s="213"/>
      <c r="D101" s="210"/>
      <c r="F101" s="207"/>
    </row>
    <row r="102" spans="1:10" ht="14.25" customHeight="1" x14ac:dyDescent="0.25">
      <c r="A102" s="138" t="s">
        <v>18</v>
      </c>
      <c r="B102" s="139">
        <v>100</v>
      </c>
      <c r="C102" s="213"/>
      <c r="D102" s="210"/>
      <c r="F102" s="207"/>
      <c r="I102" s="7"/>
    </row>
    <row r="103" spans="1:10" ht="14.25" customHeight="1" x14ac:dyDescent="0.25">
      <c r="A103" s="138" t="s">
        <v>42</v>
      </c>
      <c r="B103" s="140">
        <f>'SHEET A'!C23</f>
        <v>1.7999999999999998</v>
      </c>
      <c r="C103" s="213"/>
      <c r="D103" s="210"/>
      <c r="F103" s="207"/>
      <c r="G103" s="41"/>
      <c r="H103" s="41"/>
      <c r="I103" s="41"/>
      <c r="J103" s="41"/>
    </row>
    <row r="104" spans="1:10" ht="14.25" customHeight="1" x14ac:dyDescent="0.25">
      <c r="A104" s="154" t="s">
        <v>131</v>
      </c>
      <c r="B104" s="159">
        <f>B103*B102</f>
        <v>179.99999999999997</v>
      </c>
      <c r="C104" s="213"/>
      <c r="D104" s="210"/>
      <c r="F104" s="207"/>
      <c r="G104" s="41"/>
      <c r="H104" s="41"/>
      <c r="I104" s="41"/>
      <c r="J104" s="41"/>
    </row>
    <row r="105" spans="1:10" ht="14.25" customHeight="1" thickBot="1" x14ac:dyDescent="0.3">
      <c r="A105" s="141" t="s">
        <v>43</v>
      </c>
      <c r="B105" s="142">
        <f>B104+B101</f>
        <v>2730</v>
      </c>
      <c r="C105" s="214"/>
      <c r="D105" s="211"/>
      <c r="F105" s="208"/>
      <c r="G105" s="41"/>
      <c r="H105" s="41"/>
      <c r="I105" s="41"/>
      <c r="J105" s="41"/>
    </row>
    <row r="106" spans="1:10" ht="14.25" customHeight="1" thickBot="1" x14ac:dyDescent="0.3">
      <c r="A106" s="118" t="s">
        <v>117</v>
      </c>
      <c r="B106" s="119">
        <f>+B94+B105</f>
        <v>51945</v>
      </c>
      <c r="C106" s="106"/>
      <c r="D106" s="40"/>
      <c r="F106" s="41"/>
      <c r="G106" s="41"/>
      <c r="H106" s="41"/>
      <c r="I106" s="41"/>
      <c r="J106" s="41"/>
    </row>
    <row r="107" spans="1:10" ht="15.75" thickBot="1" x14ac:dyDescent="0.3">
      <c r="A107" s="24" t="s">
        <v>47</v>
      </c>
      <c r="B107" s="1"/>
      <c r="C107" s="16"/>
      <c r="D107" s="16"/>
      <c r="F107" s="41"/>
      <c r="G107" s="41"/>
      <c r="H107" s="41"/>
      <c r="I107" s="41"/>
      <c r="J107" s="41"/>
    </row>
    <row r="108" spans="1:10" x14ac:dyDescent="0.25">
      <c r="A108" s="25" t="s">
        <v>141</v>
      </c>
      <c r="B108" s="93">
        <f>'SHEET A'!C12</f>
        <v>0.06</v>
      </c>
      <c r="C108" s="215">
        <v>3</v>
      </c>
      <c r="D108" s="218">
        <f>C108/12</f>
        <v>0.25</v>
      </c>
      <c r="F108" s="206" t="s">
        <v>151</v>
      </c>
      <c r="H108" s="42"/>
      <c r="I108" s="43"/>
    </row>
    <row r="109" spans="1:10" x14ac:dyDescent="0.25">
      <c r="A109" s="26" t="s">
        <v>150</v>
      </c>
      <c r="B109" s="27">
        <v>100</v>
      </c>
      <c r="C109" s="216"/>
      <c r="D109" s="219"/>
      <c r="F109" s="207"/>
    </row>
    <row r="110" spans="1:10" ht="14.25" customHeight="1" x14ac:dyDescent="0.25">
      <c r="A110" s="26" t="s">
        <v>212</v>
      </c>
      <c r="B110" s="27">
        <v>30</v>
      </c>
      <c r="C110" s="216"/>
      <c r="D110" s="219"/>
      <c r="F110" s="207"/>
    </row>
    <row r="111" spans="1:10" ht="14.25" customHeight="1" x14ac:dyDescent="0.25">
      <c r="A111" s="26" t="s">
        <v>9</v>
      </c>
      <c r="B111" s="27">
        <f>B109*B110</f>
        <v>3000</v>
      </c>
      <c r="C111" s="216"/>
      <c r="D111" s="219"/>
      <c r="F111" s="207"/>
    </row>
    <row r="112" spans="1:10" ht="14.25" customHeight="1" thickBot="1" x14ac:dyDescent="0.3">
      <c r="A112" s="28" t="s">
        <v>142</v>
      </c>
      <c r="B112" s="94">
        <f>B108*B109*B110</f>
        <v>180</v>
      </c>
      <c r="C112" s="217"/>
      <c r="D112" s="220"/>
      <c r="F112" s="207"/>
    </row>
    <row r="113" spans="1:6" ht="14.25" customHeight="1" thickBot="1" x14ac:dyDescent="0.3">
      <c r="A113" s="24" t="s">
        <v>48</v>
      </c>
      <c r="B113" s="12"/>
      <c r="C113" s="29"/>
      <c r="D113" s="29"/>
      <c r="F113" s="207"/>
    </row>
    <row r="114" spans="1:6" ht="14.25" customHeight="1" x14ac:dyDescent="0.25">
      <c r="A114" s="25" t="s">
        <v>234</v>
      </c>
      <c r="B114" s="114">
        <v>100</v>
      </c>
      <c r="C114" s="215">
        <v>3</v>
      </c>
      <c r="D114" s="218">
        <f>C114/12</f>
        <v>0.25</v>
      </c>
      <c r="F114" s="207"/>
    </row>
    <row r="115" spans="1:6" ht="14.25" customHeight="1" x14ac:dyDescent="0.25">
      <c r="A115" s="26" t="s">
        <v>235</v>
      </c>
      <c r="B115" s="27">
        <v>20</v>
      </c>
      <c r="C115" s="216"/>
      <c r="D115" s="219"/>
      <c r="F115" s="207"/>
    </row>
    <row r="116" spans="1:6" ht="14.25" customHeight="1" x14ac:dyDescent="0.25">
      <c r="A116" s="26" t="s">
        <v>16</v>
      </c>
      <c r="B116" s="115">
        <f>'SHEET A'!C15</f>
        <v>24</v>
      </c>
      <c r="C116" s="216"/>
      <c r="D116" s="219"/>
      <c r="F116" s="207"/>
    </row>
    <row r="117" spans="1:6" ht="14.25" customHeight="1" x14ac:dyDescent="0.25">
      <c r="A117" s="26" t="s">
        <v>107</v>
      </c>
      <c r="B117" s="116">
        <f>B114*B116*B115</f>
        <v>48000</v>
      </c>
      <c r="C117" s="216"/>
      <c r="D117" s="219"/>
      <c r="F117" s="207"/>
    </row>
    <row r="118" spans="1:6" ht="14.25" customHeight="1" x14ac:dyDescent="0.25">
      <c r="A118" s="26" t="s">
        <v>108</v>
      </c>
      <c r="B118" s="27">
        <v>100</v>
      </c>
      <c r="C118" s="216"/>
      <c r="D118" s="219"/>
      <c r="F118" s="207"/>
    </row>
    <row r="119" spans="1:6" ht="14.25" customHeight="1" x14ac:dyDescent="0.25">
      <c r="A119" s="122" t="s">
        <v>198</v>
      </c>
      <c r="B119" s="121">
        <f>(B114*B115)</f>
        <v>2000</v>
      </c>
      <c r="C119" s="216"/>
      <c r="D119" s="219"/>
      <c r="F119" s="207"/>
    </row>
    <row r="120" spans="1:6" ht="14.25" customHeight="1" thickBot="1" x14ac:dyDescent="0.3">
      <c r="A120" s="28" t="s">
        <v>226</v>
      </c>
      <c r="B120" s="94">
        <f>'SHEET A'!C32*B119</f>
        <v>960</v>
      </c>
      <c r="C120" s="125"/>
      <c r="D120" s="126"/>
      <c r="F120" s="207"/>
    </row>
    <row r="121" spans="1:6" ht="15.75" thickBot="1" x14ac:dyDescent="0.3">
      <c r="A121" s="24" t="s">
        <v>133</v>
      </c>
      <c r="B121" s="12"/>
      <c r="C121" s="29"/>
      <c r="D121" s="29"/>
      <c r="F121" s="207"/>
    </row>
    <row r="122" spans="1:6" ht="14.25" customHeight="1" x14ac:dyDescent="0.25">
      <c r="A122" s="25" t="s">
        <v>236</v>
      </c>
      <c r="B122" s="114">
        <v>100</v>
      </c>
      <c r="C122" s="215">
        <v>12</v>
      </c>
      <c r="D122" s="218">
        <f>C122/12</f>
        <v>1</v>
      </c>
      <c r="F122" s="207"/>
    </row>
    <row r="123" spans="1:6" ht="14.25" customHeight="1" x14ac:dyDescent="0.25">
      <c r="A123" s="26" t="s">
        <v>52</v>
      </c>
      <c r="B123" s="117">
        <f>'SHEET A'!C13</f>
        <v>0.15</v>
      </c>
      <c r="C123" s="216"/>
      <c r="D123" s="219"/>
      <c r="F123" s="207"/>
    </row>
    <row r="124" spans="1:6" ht="14.25" customHeight="1" x14ac:dyDescent="0.25">
      <c r="A124" s="26" t="s">
        <v>40</v>
      </c>
      <c r="B124" s="27">
        <v>5</v>
      </c>
      <c r="C124" s="216"/>
      <c r="D124" s="219"/>
      <c r="F124" s="207"/>
    </row>
    <row r="125" spans="1:6" ht="15.75" thickBot="1" x14ac:dyDescent="0.3">
      <c r="A125" s="28" t="s">
        <v>96</v>
      </c>
      <c r="B125" s="94">
        <f>B122*B124*B123</f>
        <v>75</v>
      </c>
      <c r="C125" s="217"/>
      <c r="D125" s="220"/>
      <c r="F125" s="208"/>
    </row>
    <row r="126" spans="1:6" ht="15.75" thickBot="1" x14ac:dyDescent="0.3">
      <c r="A126" s="132" t="s">
        <v>118</v>
      </c>
      <c r="B126" s="133">
        <f>B112+B117+B120+B125</f>
        <v>49215</v>
      </c>
      <c r="C126" s="44"/>
      <c r="D126" s="17"/>
    </row>
    <row r="127" spans="1:6" ht="22.5" customHeight="1" x14ac:dyDescent="0.25">
      <c r="A127" s="45" t="s">
        <v>15</v>
      </c>
      <c r="B127" s="123">
        <f>B9+B42+B74+B106+B126</f>
        <v>286500</v>
      </c>
      <c r="C127" s="46">
        <f>SUM(C11:C119)</f>
        <v>204</v>
      </c>
      <c r="D127" s="46">
        <f>SUM(D11:D119)</f>
        <v>17</v>
      </c>
    </row>
    <row r="128" spans="1:6" ht="14.25" customHeight="1" x14ac:dyDescent="0.25">
      <c r="B128" s="48"/>
      <c r="D128" s="46" t="s">
        <v>1</v>
      </c>
    </row>
    <row r="129" spans="1:12" ht="14.25" customHeight="1" x14ac:dyDescent="0.25">
      <c r="B129" s="90"/>
      <c r="F129" s="50"/>
      <c r="G129" s="50"/>
      <c r="H129" s="50"/>
      <c r="I129" s="51"/>
      <c r="J129" s="50"/>
      <c r="K129" s="50"/>
      <c r="L129" s="50"/>
    </row>
    <row r="130" spans="1:12" ht="17.25" customHeight="1" x14ac:dyDescent="0.3">
      <c r="A130" s="52" t="s">
        <v>254</v>
      </c>
      <c r="B130" s="53"/>
      <c r="C130" s="53"/>
      <c r="D130" s="54"/>
      <c r="F130" s="50"/>
      <c r="G130" s="50"/>
      <c r="H130" s="50"/>
      <c r="I130" s="51"/>
      <c r="J130" s="50"/>
      <c r="K130" s="50"/>
      <c r="L130" s="50"/>
    </row>
    <row r="131" spans="1:12" ht="14.25" customHeight="1" thickBot="1" x14ac:dyDescent="0.3">
      <c r="A131" s="55" t="s">
        <v>58</v>
      </c>
      <c r="B131" s="56"/>
      <c r="C131" s="53"/>
      <c r="D131" s="54"/>
      <c r="F131" s="50"/>
      <c r="G131" s="50"/>
      <c r="H131" s="50"/>
      <c r="I131" s="51"/>
      <c r="J131" s="50"/>
      <c r="K131" s="50"/>
      <c r="L131" s="50"/>
    </row>
    <row r="132" spans="1:12" ht="14.25" customHeight="1" x14ac:dyDescent="0.25">
      <c r="A132" s="30" t="s">
        <v>213</v>
      </c>
      <c r="B132" s="57">
        <f>B23</f>
        <v>2000</v>
      </c>
      <c r="C132" s="234">
        <v>6</v>
      </c>
      <c r="D132" s="237">
        <f>C132/12</f>
        <v>0.5</v>
      </c>
      <c r="F132" s="227" t="s">
        <v>155</v>
      </c>
      <c r="G132" s="50"/>
      <c r="H132" s="50"/>
      <c r="I132" s="51"/>
      <c r="J132" s="50"/>
      <c r="K132" s="50"/>
      <c r="L132" s="50"/>
    </row>
    <row r="133" spans="1:12" x14ac:dyDescent="0.25">
      <c r="A133" s="31" t="s">
        <v>214</v>
      </c>
      <c r="B133" s="120">
        <v>2000</v>
      </c>
      <c r="C133" s="235"/>
      <c r="D133" s="238"/>
      <c r="F133" s="228"/>
      <c r="G133" s="13"/>
      <c r="H133" s="233"/>
      <c r="I133" s="233"/>
      <c r="J133" s="50"/>
      <c r="K133" s="50"/>
      <c r="L133" s="50"/>
    </row>
    <row r="134" spans="1:12" x14ac:dyDescent="0.25">
      <c r="A134" s="31" t="s">
        <v>97</v>
      </c>
      <c r="B134" s="120">
        <f>+B132+B133</f>
        <v>4000</v>
      </c>
      <c r="C134" s="235"/>
      <c r="D134" s="238"/>
      <c r="F134" s="228"/>
      <c r="G134" s="4"/>
      <c r="H134" s="233"/>
      <c r="I134" s="233"/>
      <c r="J134" s="50"/>
      <c r="K134" s="50"/>
      <c r="L134" s="50"/>
    </row>
    <row r="135" spans="1:12" ht="14.25" customHeight="1" x14ac:dyDescent="0.25">
      <c r="A135" s="31" t="s">
        <v>232</v>
      </c>
      <c r="B135" s="95">
        <f>'SHEET A'!C13</f>
        <v>0.15</v>
      </c>
      <c r="C135" s="235"/>
      <c r="D135" s="238"/>
      <c r="F135" s="228"/>
      <c r="G135" s="4"/>
      <c r="H135" s="233"/>
      <c r="I135" s="233"/>
      <c r="J135" s="50"/>
      <c r="K135" s="50"/>
      <c r="L135" s="50"/>
    </row>
    <row r="136" spans="1:12" ht="14.25" customHeight="1" x14ac:dyDescent="0.25">
      <c r="A136" s="31" t="s">
        <v>237</v>
      </c>
      <c r="B136" s="32">
        <f>15*3</f>
        <v>45</v>
      </c>
      <c r="C136" s="235"/>
      <c r="D136" s="238"/>
      <c r="F136" s="228"/>
      <c r="G136" s="14"/>
      <c r="H136" s="174"/>
      <c r="I136" s="174"/>
      <c r="J136" s="50"/>
      <c r="K136" s="50"/>
      <c r="L136" s="50"/>
    </row>
    <row r="137" spans="1:12" x14ac:dyDescent="0.25">
      <c r="A137" s="31" t="s">
        <v>215</v>
      </c>
      <c r="B137" s="32">
        <f>B134*B136</f>
        <v>180000</v>
      </c>
      <c r="C137" s="235"/>
      <c r="D137" s="238"/>
      <c r="F137" s="228"/>
      <c r="G137" s="4"/>
      <c r="H137" s="233"/>
      <c r="I137" s="233"/>
      <c r="J137" s="50"/>
      <c r="K137" s="50"/>
      <c r="L137" s="50"/>
    </row>
    <row r="138" spans="1:12" ht="15" customHeight="1" thickBot="1" x14ac:dyDescent="0.3">
      <c r="A138" s="33" t="s">
        <v>216</v>
      </c>
      <c r="B138" s="96">
        <f>+B135*B137</f>
        <v>27000</v>
      </c>
      <c r="C138" s="236"/>
      <c r="D138" s="239"/>
      <c r="F138" s="228"/>
      <c r="G138" s="15"/>
      <c r="H138" s="233"/>
      <c r="I138" s="233"/>
      <c r="J138" s="50"/>
      <c r="K138" s="50"/>
      <c r="L138" s="50"/>
    </row>
    <row r="139" spans="1:12" ht="14.25" customHeight="1" thickBot="1" x14ac:dyDescent="0.3">
      <c r="A139" s="143" t="s">
        <v>20</v>
      </c>
      <c r="B139" s="1"/>
      <c r="C139" s="2"/>
      <c r="D139" s="2"/>
      <c r="F139" s="228"/>
      <c r="G139" s="4"/>
      <c r="H139" s="233"/>
      <c r="I139" s="233"/>
      <c r="J139" s="50"/>
      <c r="K139" s="50"/>
      <c r="L139" s="50"/>
    </row>
    <row r="140" spans="1:12" ht="14.25" customHeight="1" x14ac:dyDescent="0.25">
      <c r="A140" s="34" t="s">
        <v>8</v>
      </c>
      <c r="B140" s="35">
        <v>3</v>
      </c>
      <c r="C140" s="240">
        <v>4</v>
      </c>
      <c r="D140" s="243">
        <f>C140/12</f>
        <v>0.33333333333333331</v>
      </c>
      <c r="F140" s="228"/>
      <c r="G140" s="59"/>
      <c r="H140" s="233"/>
      <c r="I140" s="233"/>
      <c r="J140" s="50"/>
      <c r="K140" s="50"/>
      <c r="L140" s="50"/>
    </row>
    <row r="141" spans="1:12" x14ac:dyDescent="0.25">
      <c r="A141" s="36" t="s">
        <v>217</v>
      </c>
      <c r="B141" s="37">
        <v>9</v>
      </c>
      <c r="C141" s="241"/>
      <c r="D141" s="244"/>
      <c r="F141" s="228"/>
      <c r="G141" s="15"/>
      <c r="H141" s="233"/>
      <c r="I141" s="233"/>
      <c r="J141" s="50"/>
      <c r="K141" s="50"/>
      <c r="L141" s="50"/>
    </row>
    <row r="142" spans="1:12" x14ac:dyDescent="0.25">
      <c r="A142" s="36" t="s">
        <v>11</v>
      </c>
      <c r="B142" s="37">
        <f>B134*B140*B141</f>
        <v>108000</v>
      </c>
      <c r="C142" s="241"/>
      <c r="D142" s="244"/>
      <c r="F142" s="228"/>
      <c r="G142" s="59"/>
      <c r="H142" s="233"/>
      <c r="I142" s="233"/>
      <c r="J142" s="50"/>
      <c r="K142" s="50"/>
      <c r="L142" s="50"/>
    </row>
    <row r="143" spans="1:12" x14ac:dyDescent="0.25">
      <c r="A143" s="36" t="s">
        <v>12</v>
      </c>
      <c r="B143" s="144">
        <f>'SHEET A'!C31</f>
        <v>0.12</v>
      </c>
      <c r="C143" s="241"/>
      <c r="D143" s="244"/>
      <c r="F143" s="228"/>
      <c r="G143" s="4"/>
      <c r="H143" s="5"/>
      <c r="I143" s="6"/>
      <c r="J143" s="50"/>
      <c r="K143" s="50"/>
      <c r="L143" s="50"/>
    </row>
    <row r="144" spans="1:12" x14ac:dyDescent="0.25">
      <c r="A144" s="36" t="s">
        <v>152</v>
      </c>
      <c r="B144" s="37">
        <f>B142*0.05</f>
        <v>5400</v>
      </c>
      <c r="C144" s="241"/>
      <c r="D144" s="244"/>
      <c r="F144" s="228"/>
      <c r="G144" s="13"/>
      <c r="H144" s="233"/>
      <c r="I144" s="233"/>
      <c r="J144" s="50"/>
      <c r="K144" s="50"/>
      <c r="L144" s="50"/>
    </row>
    <row r="145" spans="1:12" ht="14.25" customHeight="1" x14ac:dyDescent="0.25">
      <c r="A145" s="70" t="s">
        <v>13</v>
      </c>
      <c r="B145" s="145">
        <f>B144*B143</f>
        <v>648</v>
      </c>
      <c r="C145" s="241"/>
      <c r="D145" s="244"/>
      <c r="F145" s="228"/>
      <c r="G145" s="15"/>
      <c r="H145" s="233"/>
      <c r="I145" s="233"/>
      <c r="J145" s="50"/>
      <c r="K145" s="50"/>
      <c r="L145" s="50"/>
    </row>
    <row r="146" spans="1:12" ht="14.25" customHeight="1" x14ac:dyDescent="0.25">
      <c r="A146" s="36" t="s">
        <v>36</v>
      </c>
      <c r="B146" s="144">
        <f>'SHEET A'!C30</f>
        <v>0.89999999999999991</v>
      </c>
      <c r="C146" s="241"/>
      <c r="D146" s="244"/>
      <c r="F146" s="228"/>
      <c r="G146" s="15"/>
      <c r="H146" s="233"/>
      <c r="I146" s="233"/>
      <c r="J146" s="50"/>
      <c r="K146" s="50"/>
      <c r="L146" s="50"/>
    </row>
    <row r="147" spans="1:12" ht="14.25" customHeight="1" thickBot="1" x14ac:dyDescent="0.3">
      <c r="A147" s="38" t="s">
        <v>29</v>
      </c>
      <c r="B147" s="146">
        <f>B142*B146+(B145)</f>
        <v>97847.999999999985</v>
      </c>
      <c r="C147" s="242"/>
      <c r="D147" s="245"/>
      <c r="F147" s="228"/>
      <c r="G147" s="59"/>
      <c r="H147" s="233"/>
      <c r="I147" s="233"/>
      <c r="J147" s="50"/>
      <c r="K147" s="50"/>
      <c r="L147" s="50"/>
    </row>
    <row r="148" spans="1:12" ht="15.75" thickBot="1" x14ac:dyDescent="0.3">
      <c r="A148" s="143" t="s">
        <v>21</v>
      </c>
      <c r="B148" s="1"/>
      <c r="C148" s="2"/>
      <c r="D148" s="2"/>
      <c r="F148" s="228"/>
      <c r="G148" s="59"/>
      <c r="H148" s="233"/>
      <c r="I148" s="233"/>
      <c r="J148" s="50"/>
      <c r="K148" s="50"/>
      <c r="L148" s="50"/>
    </row>
    <row r="149" spans="1:12" ht="15" customHeight="1" x14ac:dyDescent="0.25">
      <c r="A149" s="34" t="s">
        <v>14</v>
      </c>
      <c r="B149" s="147">
        <f>'SHEET A'!C33</f>
        <v>0.06</v>
      </c>
      <c r="C149" s="240">
        <v>92</v>
      </c>
      <c r="D149" s="243">
        <f>C149/12</f>
        <v>7.666666666666667</v>
      </c>
      <c r="F149" s="228"/>
      <c r="G149" s="59"/>
      <c r="H149" s="233"/>
      <c r="I149" s="233"/>
      <c r="J149" s="50"/>
      <c r="K149" s="50"/>
      <c r="L149" s="50"/>
    </row>
    <row r="150" spans="1:12" x14ac:dyDescent="0.25">
      <c r="A150" s="36" t="s">
        <v>31</v>
      </c>
      <c r="B150" s="148">
        <f>'SHEET A'!C35</f>
        <v>3</v>
      </c>
      <c r="C150" s="241"/>
      <c r="D150" s="244"/>
      <c r="F150" s="228"/>
      <c r="G150" s="15"/>
      <c r="H150" s="233"/>
      <c r="I150" s="233"/>
      <c r="J150" s="50"/>
      <c r="K150" s="50"/>
      <c r="L150" s="50"/>
    </row>
    <row r="151" spans="1:12" x14ac:dyDescent="0.25">
      <c r="A151" s="36" t="s">
        <v>30</v>
      </c>
      <c r="B151" s="148">
        <f>'SHEET A'!C36</f>
        <v>0.06</v>
      </c>
      <c r="C151" s="241"/>
      <c r="D151" s="244"/>
      <c r="F151" s="228"/>
      <c r="G151" s="59"/>
      <c r="H151" s="233"/>
      <c r="I151" s="233"/>
      <c r="J151" s="50"/>
      <c r="K151" s="50"/>
      <c r="L151" s="50"/>
    </row>
    <row r="152" spans="1:12" x14ac:dyDescent="0.25">
      <c r="A152" s="70" t="s">
        <v>32</v>
      </c>
      <c r="B152" s="149">
        <f>B142*B149</f>
        <v>6480</v>
      </c>
      <c r="C152" s="241"/>
      <c r="D152" s="244"/>
      <c r="F152" s="228"/>
      <c r="G152" s="59"/>
      <c r="H152" s="233"/>
      <c r="I152" s="233"/>
      <c r="J152" s="50"/>
      <c r="K152" s="50"/>
      <c r="L152" s="50"/>
    </row>
    <row r="153" spans="1:12" x14ac:dyDescent="0.25">
      <c r="A153" s="70" t="s">
        <v>218</v>
      </c>
      <c r="B153" s="149">
        <f>(4000*(3*3))*B150</f>
        <v>108000</v>
      </c>
      <c r="C153" s="241"/>
      <c r="D153" s="244"/>
      <c r="F153" s="228"/>
      <c r="G153" s="61"/>
      <c r="H153" s="5"/>
      <c r="I153" s="62"/>
      <c r="J153" s="50"/>
      <c r="K153" s="50"/>
      <c r="L153" s="50"/>
    </row>
    <row r="154" spans="1:12" x14ac:dyDescent="0.25">
      <c r="A154" s="70" t="s">
        <v>34</v>
      </c>
      <c r="B154" s="149">
        <f>B142*B151</f>
        <v>6480</v>
      </c>
      <c r="C154" s="241"/>
      <c r="D154" s="244"/>
      <c r="F154" s="228"/>
      <c r="G154" s="61"/>
      <c r="H154" s="5"/>
      <c r="I154" s="62"/>
      <c r="J154" s="50"/>
      <c r="K154" s="50"/>
      <c r="L154" s="50"/>
    </row>
    <row r="155" spans="1:12" x14ac:dyDescent="0.25">
      <c r="A155" s="36" t="s">
        <v>54</v>
      </c>
      <c r="B155" s="148">
        <v>0</v>
      </c>
      <c r="C155" s="241"/>
      <c r="D155" s="244"/>
      <c r="F155" s="228"/>
      <c r="G155" s="61"/>
      <c r="H155" s="5"/>
      <c r="I155" s="62"/>
      <c r="J155" s="50"/>
      <c r="K155" s="50"/>
      <c r="L155" s="50"/>
    </row>
    <row r="156" spans="1:12" x14ac:dyDescent="0.25">
      <c r="A156" s="70" t="s">
        <v>53</v>
      </c>
      <c r="B156" s="149">
        <f>B132*B155</f>
        <v>0</v>
      </c>
      <c r="C156" s="241"/>
      <c r="D156" s="244"/>
      <c r="F156" s="228"/>
      <c r="G156" s="61"/>
      <c r="H156" s="5"/>
      <c r="I156" s="62"/>
      <c r="J156" s="50"/>
      <c r="K156" s="50"/>
      <c r="L156" s="50"/>
    </row>
    <row r="157" spans="1:12" ht="15.75" thickBot="1" x14ac:dyDescent="0.3">
      <c r="A157" s="38" t="s">
        <v>219</v>
      </c>
      <c r="B157" s="150">
        <f>B152+B153+B154+B156</f>
        <v>120960</v>
      </c>
      <c r="C157" s="242"/>
      <c r="D157" s="245"/>
      <c r="F157" s="228"/>
      <c r="G157" s="50"/>
      <c r="H157" s="50"/>
      <c r="I157" s="51"/>
      <c r="J157" s="50"/>
      <c r="K157" s="50"/>
      <c r="L157" s="50"/>
    </row>
    <row r="158" spans="1:12" ht="15.75" thickBot="1" x14ac:dyDescent="0.3">
      <c r="A158" s="143" t="s">
        <v>22</v>
      </c>
      <c r="B158" s="1"/>
      <c r="C158" s="2"/>
      <c r="D158" s="2"/>
      <c r="F158" s="228"/>
      <c r="G158" s="50"/>
      <c r="H158" s="50"/>
      <c r="I158" s="51"/>
      <c r="J158" s="50"/>
      <c r="K158" s="50"/>
      <c r="L158" s="50"/>
    </row>
    <row r="159" spans="1:12" x14ac:dyDescent="0.25">
      <c r="A159" s="34" t="s">
        <v>23</v>
      </c>
      <c r="B159" s="147">
        <v>0</v>
      </c>
      <c r="C159" s="240">
        <v>12</v>
      </c>
      <c r="D159" s="243">
        <f>C159/12</f>
        <v>1</v>
      </c>
      <c r="F159" s="228"/>
      <c r="G159" s="50"/>
      <c r="H159" s="50"/>
      <c r="I159" s="51"/>
      <c r="J159" s="50"/>
      <c r="K159" s="50"/>
      <c r="L159" s="50"/>
    </row>
    <row r="160" spans="1:12" ht="15.75" thickBot="1" x14ac:dyDescent="0.3">
      <c r="A160" s="151" t="s">
        <v>24</v>
      </c>
      <c r="B160" s="152">
        <v>0</v>
      </c>
      <c r="C160" s="242"/>
      <c r="D160" s="245"/>
      <c r="F160" s="229"/>
      <c r="G160" s="50"/>
      <c r="H160" s="50"/>
      <c r="I160" s="51"/>
      <c r="J160" s="50"/>
      <c r="K160" s="50"/>
      <c r="L160" s="50"/>
    </row>
    <row r="161" spans="1:12" s="66" customFormat="1" ht="19.5" customHeight="1" x14ac:dyDescent="0.4">
      <c r="A161" s="45" t="s">
        <v>19</v>
      </c>
      <c r="B161" s="123">
        <f>B138+B147+B157</f>
        <v>245808</v>
      </c>
      <c r="C161" s="46">
        <f>SUM(C132:C160)</f>
        <v>114</v>
      </c>
      <c r="D161" s="46">
        <f>SUM(D132:D160)</f>
        <v>9.5</v>
      </c>
      <c r="F161" s="67"/>
      <c r="G161" s="67"/>
      <c r="H161" s="67"/>
      <c r="I161" s="68"/>
      <c r="J161" s="67"/>
      <c r="K161" s="67"/>
      <c r="L161" s="67"/>
    </row>
    <row r="162" spans="1:12" ht="18.75" x14ac:dyDescent="0.25">
      <c r="C162" s="7"/>
      <c r="D162" s="46" t="s">
        <v>1</v>
      </c>
    </row>
    <row r="163" spans="1:12" x14ac:dyDescent="0.25">
      <c r="B163" s="99"/>
    </row>
    <row r="166" spans="1:12" ht="26.25" x14ac:dyDescent="0.25">
      <c r="A166" s="63" t="s">
        <v>55</v>
      </c>
      <c r="B166" s="98">
        <f>B127+B161</f>
        <v>532308</v>
      </c>
      <c r="C166" s="64"/>
      <c r="D166" s="65"/>
    </row>
    <row r="167" spans="1:12" x14ac:dyDescent="0.25">
      <c r="B167" s="69"/>
    </row>
    <row r="168" spans="1:12" x14ac:dyDescent="0.25">
      <c r="B168" s="90"/>
    </row>
  </sheetData>
  <mergeCells count="52">
    <mergeCell ref="F76:F105"/>
    <mergeCell ref="F108:F125"/>
    <mergeCell ref="F132:F160"/>
    <mergeCell ref="F11:F41"/>
    <mergeCell ref="F3:F8"/>
    <mergeCell ref="F44:F73"/>
    <mergeCell ref="C159:C160"/>
    <mergeCell ref="D159:D160"/>
    <mergeCell ref="D32:D41"/>
    <mergeCell ref="C58:C61"/>
    <mergeCell ref="D58:D61"/>
    <mergeCell ref="C44:C48"/>
    <mergeCell ref="D44:D48"/>
    <mergeCell ref="C50:C55"/>
    <mergeCell ref="D50:D55"/>
    <mergeCell ref="C122:C125"/>
    <mergeCell ref="D122:D125"/>
    <mergeCell ref="C26:C29"/>
    <mergeCell ref="D26:D29"/>
    <mergeCell ref="C114:C119"/>
    <mergeCell ref="D114:D119"/>
    <mergeCell ref="D76:D80"/>
    <mergeCell ref="C76:C80"/>
    <mergeCell ref="D82:D87"/>
    <mergeCell ref="C82:C87"/>
    <mergeCell ref="D90:D93"/>
    <mergeCell ref="I144:I152"/>
    <mergeCell ref="C132:C138"/>
    <mergeCell ref="D132:D138"/>
    <mergeCell ref="C140:C147"/>
    <mergeCell ref="D140:D147"/>
    <mergeCell ref="C149:C157"/>
    <mergeCell ref="D149:D157"/>
    <mergeCell ref="I133:I135"/>
    <mergeCell ref="H137:H142"/>
    <mergeCell ref="I137:I142"/>
    <mergeCell ref="C3:C8"/>
    <mergeCell ref="D3:D8"/>
    <mergeCell ref="H144:H152"/>
    <mergeCell ref="H133:H135"/>
    <mergeCell ref="C90:C93"/>
    <mergeCell ref="C108:C112"/>
    <mergeCell ref="D108:D112"/>
    <mergeCell ref="D96:D105"/>
    <mergeCell ref="C96:C105"/>
    <mergeCell ref="D64:D73"/>
    <mergeCell ref="C64:C73"/>
    <mergeCell ref="C32:C41"/>
    <mergeCell ref="C11:C16"/>
    <mergeCell ref="D11:D16"/>
    <mergeCell ref="C18:C23"/>
    <mergeCell ref="D18:D23"/>
  </mergeCells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09"/>
  <sheetViews>
    <sheetView showGridLines="0" topLeftCell="A166" zoomScale="85" zoomScaleNormal="85" workbookViewId="0">
      <selection activeCell="B208" sqref="B208"/>
    </sheetView>
  </sheetViews>
  <sheetFormatPr defaultRowHeight="15" x14ac:dyDescent="0.25"/>
  <cols>
    <col min="1" max="1" width="122.7109375" style="47" bestFit="1" customWidth="1"/>
    <col min="2" max="2" width="23.140625" style="47" bestFit="1" customWidth="1"/>
    <col min="3" max="3" width="12.28515625" style="49" bestFit="1" customWidth="1"/>
    <col min="4" max="4" width="8.5703125" style="44" bestFit="1" customWidth="1"/>
    <col min="5" max="5" width="9.140625" style="7"/>
    <col min="6" max="6" width="14.140625" style="7" customWidth="1"/>
    <col min="7" max="7" width="99.85546875" style="7" bestFit="1" customWidth="1"/>
    <col min="8" max="8" width="19.5703125" style="7" bestFit="1" customWidth="1"/>
    <col min="9" max="9" width="9.140625" style="7"/>
    <col min="10" max="10" width="9.140625" style="17"/>
    <col min="11" max="16384" width="9.140625" style="7"/>
  </cols>
  <sheetData>
    <row r="1" spans="1:10" ht="18.75" x14ac:dyDescent="0.25">
      <c r="A1" s="81" t="s">
        <v>4</v>
      </c>
      <c r="B1" s="82" t="s">
        <v>3</v>
      </c>
      <c r="C1" s="83" t="s">
        <v>2</v>
      </c>
      <c r="D1" s="83" t="s">
        <v>1</v>
      </c>
      <c r="J1" s="7"/>
    </row>
    <row r="2" spans="1:10" ht="15.75" thickBot="1" x14ac:dyDescent="0.3">
      <c r="A2" s="18" t="s">
        <v>56</v>
      </c>
      <c r="B2" s="7"/>
      <c r="C2" s="16"/>
      <c r="D2" s="16"/>
    </row>
    <row r="3" spans="1:10" x14ac:dyDescent="0.25">
      <c r="A3" s="19" t="s">
        <v>139</v>
      </c>
      <c r="B3" s="20">
        <v>3000</v>
      </c>
      <c r="C3" s="221">
        <v>0</v>
      </c>
      <c r="D3" s="224">
        <v>0</v>
      </c>
      <c r="F3" s="227" t="s">
        <v>154</v>
      </c>
    </row>
    <row r="4" spans="1:10" x14ac:dyDescent="0.25">
      <c r="A4" s="58" t="s">
        <v>31</v>
      </c>
      <c r="B4" s="97">
        <f>'SHEET A'!C35</f>
        <v>3</v>
      </c>
      <c r="C4" s="222"/>
      <c r="D4" s="225"/>
      <c r="F4" s="228"/>
    </row>
    <row r="5" spans="1:10" x14ac:dyDescent="0.25">
      <c r="A5" s="58" t="s">
        <v>30</v>
      </c>
      <c r="B5" s="97">
        <f>'SHEET A'!C36</f>
        <v>0.06</v>
      </c>
      <c r="C5" s="222"/>
      <c r="D5" s="225"/>
      <c r="F5" s="228"/>
    </row>
    <row r="6" spans="1:10" x14ac:dyDescent="0.25">
      <c r="A6" s="21" t="s">
        <v>5</v>
      </c>
      <c r="B6" s="91">
        <f>'SHEET A'!C15</f>
        <v>24</v>
      </c>
      <c r="C6" s="222"/>
      <c r="D6" s="225"/>
      <c r="F6" s="228"/>
    </row>
    <row r="7" spans="1:10" x14ac:dyDescent="0.25">
      <c r="A7" s="22" t="s">
        <v>50</v>
      </c>
      <c r="B7" s="92">
        <f>B3*B6</f>
        <v>72000</v>
      </c>
      <c r="C7" s="222"/>
      <c r="D7" s="225"/>
      <c r="F7" s="228"/>
    </row>
    <row r="8" spans="1:10" ht="15.75" thickBot="1" x14ac:dyDescent="0.3">
      <c r="A8" s="23" t="s">
        <v>51</v>
      </c>
      <c r="B8" s="134">
        <f>B3*(B4+B5)</f>
        <v>9180</v>
      </c>
      <c r="C8" s="223"/>
      <c r="D8" s="226"/>
      <c r="F8" s="229"/>
    </row>
    <row r="9" spans="1:10" ht="15.75" thickBot="1" x14ac:dyDescent="0.3">
      <c r="A9" s="132" t="s">
        <v>113</v>
      </c>
      <c r="B9" s="133">
        <f>B7+B8</f>
        <v>81180</v>
      </c>
      <c r="C9" s="7"/>
      <c r="D9" s="7"/>
      <c r="F9" s="170"/>
    </row>
    <row r="10" spans="1:10" ht="15.75" thickBot="1" x14ac:dyDescent="0.3">
      <c r="A10" s="24" t="s">
        <v>125</v>
      </c>
      <c r="B10" s="100"/>
      <c r="C10" s="16"/>
      <c r="D10" s="16"/>
    </row>
    <row r="11" spans="1:10" ht="14.25" customHeight="1" x14ac:dyDescent="0.25">
      <c r="A11" s="25" t="s">
        <v>6</v>
      </c>
      <c r="B11" s="93">
        <f>'SHEET A'!C12</f>
        <v>0.06</v>
      </c>
      <c r="C11" s="215">
        <v>3</v>
      </c>
      <c r="D11" s="218">
        <f>C11/12</f>
        <v>0.25</v>
      </c>
      <c r="F11" s="206" t="s">
        <v>144</v>
      </c>
    </row>
    <row r="12" spans="1:10" ht="14.25" customHeight="1" x14ac:dyDescent="0.25">
      <c r="A12" s="26" t="s">
        <v>202</v>
      </c>
      <c r="B12" s="158">
        <f>'SHEET A'!C37</f>
        <v>2.6999999999999997</v>
      </c>
      <c r="C12" s="216"/>
      <c r="D12" s="219"/>
      <c r="F12" s="207"/>
    </row>
    <row r="13" spans="1:10" ht="14.25" customHeight="1" x14ac:dyDescent="0.25">
      <c r="A13" s="26" t="s">
        <v>203</v>
      </c>
      <c r="B13" s="27">
        <v>100</v>
      </c>
      <c r="C13" s="216"/>
      <c r="D13" s="219"/>
      <c r="F13" s="207"/>
    </row>
    <row r="14" spans="1:10" ht="14.25" customHeight="1" x14ac:dyDescent="0.25">
      <c r="A14" s="26" t="s">
        <v>204</v>
      </c>
      <c r="B14" s="27">
        <v>30</v>
      </c>
      <c r="C14" s="216"/>
      <c r="D14" s="219"/>
      <c r="F14" s="207"/>
    </row>
    <row r="15" spans="1:10" ht="14.25" customHeight="1" x14ac:dyDescent="0.25">
      <c r="A15" s="26" t="s">
        <v>205</v>
      </c>
      <c r="B15" s="27">
        <f>B13*B14</f>
        <v>3000</v>
      </c>
      <c r="C15" s="216"/>
      <c r="D15" s="219"/>
      <c r="F15" s="207"/>
    </row>
    <row r="16" spans="1:10" ht="15.75" thickBot="1" x14ac:dyDescent="0.3">
      <c r="A16" s="28" t="s">
        <v>157</v>
      </c>
      <c r="B16" s="94">
        <f>(B11*B15)+(B12*B13)</f>
        <v>450</v>
      </c>
      <c r="C16" s="217"/>
      <c r="D16" s="220"/>
      <c r="F16" s="207"/>
    </row>
    <row r="17" spans="1:10" ht="15.75" thickBot="1" x14ac:dyDescent="0.3">
      <c r="A17" s="24" t="s">
        <v>158</v>
      </c>
      <c r="B17" s="12"/>
      <c r="C17" s="29"/>
      <c r="D17" s="29"/>
      <c r="F17" s="207"/>
    </row>
    <row r="18" spans="1:10" ht="15" customHeight="1" x14ac:dyDescent="0.25">
      <c r="A18" s="25" t="s">
        <v>106</v>
      </c>
      <c r="B18" s="114">
        <v>100</v>
      </c>
      <c r="C18" s="215">
        <v>3</v>
      </c>
      <c r="D18" s="218">
        <f>C18/12</f>
        <v>0.25</v>
      </c>
      <c r="F18" s="207"/>
    </row>
    <row r="19" spans="1:10" ht="15" customHeight="1" x14ac:dyDescent="0.25">
      <c r="A19" s="26" t="s">
        <v>128</v>
      </c>
      <c r="B19" s="27">
        <v>20</v>
      </c>
      <c r="C19" s="216"/>
      <c r="D19" s="219"/>
      <c r="F19" s="207"/>
    </row>
    <row r="20" spans="1:10" ht="14.25" customHeight="1" x14ac:dyDescent="0.25">
      <c r="A20" s="26" t="s">
        <v>16</v>
      </c>
      <c r="B20" s="115">
        <f>'SHEET A'!C15</f>
        <v>24</v>
      </c>
      <c r="C20" s="216"/>
      <c r="D20" s="219"/>
      <c r="F20" s="207"/>
    </row>
    <row r="21" spans="1:10" x14ac:dyDescent="0.25">
      <c r="A21" s="26" t="s">
        <v>107</v>
      </c>
      <c r="B21" s="116">
        <f>B18*B20*B19</f>
        <v>48000</v>
      </c>
      <c r="C21" s="216"/>
      <c r="D21" s="219"/>
      <c r="F21" s="207"/>
    </row>
    <row r="22" spans="1:10" ht="14.25" customHeight="1" x14ac:dyDescent="0.25">
      <c r="A22" s="26" t="s">
        <v>108</v>
      </c>
      <c r="B22" s="27">
        <v>100</v>
      </c>
      <c r="C22" s="216"/>
      <c r="D22" s="219"/>
      <c r="F22" s="207"/>
    </row>
    <row r="23" spans="1:10" x14ac:dyDescent="0.25">
      <c r="A23" s="122" t="s">
        <v>198</v>
      </c>
      <c r="B23" s="121">
        <f>(B19*B13)</f>
        <v>2000</v>
      </c>
      <c r="C23" s="216"/>
      <c r="D23" s="219"/>
      <c r="F23" s="207"/>
      <c r="J23" s="7"/>
    </row>
    <row r="24" spans="1:10" ht="15.75" thickBot="1" x14ac:dyDescent="0.3">
      <c r="A24" s="28" t="s">
        <v>206</v>
      </c>
      <c r="B24" s="94">
        <f>'SHEET A'!C32*B23</f>
        <v>960</v>
      </c>
      <c r="C24" s="217"/>
      <c r="D24" s="220"/>
      <c r="F24" s="207"/>
      <c r="J24" s="7"/>
    </row>
    <row r="25" spans="1:10" ht="15.75" thickBot="1" x14ac:dyDescent="0.3">
      <c r="A25" s="24" t="s">
        <v>114</v>
      </c>
      <c r="B25" s="12"/>
      <c r="C25" s="29"/>
      <c r="D25" s="29"/>
      <c r="F25" s="207"/>
    </row>
    <row r="26" spans="1:10" ht="14.25" customHeight="1" x14ac:dyDescent="0.25">
      <c r="A26" s="25" t="s">
        <v>39</v>
      </c>
      <c r="B26" s="114">
        <v>100</v>
      </c>
      <c r="C26" s="215">
        <v>6</v>
      </c>
      <c r="D26" s="218">
        <f>C26/12</f>
        <v>0.5</v>
      </c>
      <c r="F26" s="207"/>
    </row>
    <row r="27" spans="1:10" ht="14.25" customHeight="1" x14ac:dyDescent="0.25">
      <c r="A27" s="26" t="s">
        <v>52</v>
      </c>
      <c r="B27" s="117">
        <f>'SHEET A'!C13</f>
        <v>0.15</v>
      </c>
      <c r="C27" s="216"/>
      <c r="D27" s="219"/>
      <c r="F27" s="207"/>
    </row>
    <row r="28" spans="1:10" ht="14.25" customHeight="1" x14ac:dyDescent="0.25">
      <c r="A28" s="26" t="s">
        <v>40</v>
      </c>
      <c r="B28" s="27">
        <v>5</v>
      </c>
      <c r="C28" s="216"/>
      <c r="D28" s="219"/>
      <c r="F28" s="207"/>
    </row>
    <row r="29" spans="1:10" ht="15.75" thickBot="1" x14ac:dyDescent="0.3">
      <c r="A29" s="28" t="s">
        <v>96</v>
      </c>
      <c r="B29" s="94">
        <f>B26*B28*B27</f>
        <v>75</v>
      </c>
      <c r="C29" s="217"/>
      <c r="D29" s="220"/>
      <c r="F29" s="207"/>
    </row>
    <row r="30" spans="1:10" ht="15.75" thickBot="1" x14ac:dyDescent="0.3">
      <c r="A30" s="24" t="s">
        <v>92</v>
      </c>
      <c r="B30" s="12"/>
      <c r="C30" s="29"/>
      <c r="D30" s="29"/>
      <c r="F30" s="207"/>
    </row>
    <row r="31" spans="1:10" ht="14.25" customHeight="1" x14ac:dyDescent="0.25">
      <c r="A31" s="25" t="s">
        <v>159</v>
      </c>
      <c r="B31" s="114">
        <v>100</v>
      </c>
      <c r="C31" s="215">
        <v>6</v>
      </c>
      <c r="D31" s="218">
        <f>C31/12</f>
        <v>0.5</v>
      </c>
      <c r="F31" s="207"/>
      <c r="J31" s="7"/>
    </row>
    <row r="32" spans="1:10" ht="14.25" customHeight="1" x14ac:dyDescent="0.25">
      <c r="A32" s="122" t="s">
        <v>166</v>
      </c>
      <c r="B32" s="124">
        <f>'SHEET A'!C21*B31</f>
        <v>30</v>
      </c>
      <c r="C32" s="216"/>
      <c r="D32" s="219"/>
      <c r="F32" s="207"/>
      <c r="J32" s="7"/>
    </row>
    <row r="33" spans="1:10" ht="14.25" customHeight="1" x14ac:dyDescent="0.25">
      <c r="A33" s="26" t="s">
        <v>160</v>
      </c>
      <c r="B33" s="27">
        <v>5</v>
      </c>
      <c r="C33" s="216"/>
      <c r="D33" s="219"/>
      <c r="F33" s="207"/>
      <c r="J33" s="7"/>
    </row>
    <row r="34" spans="1:10" ht="14.25" customHeight="1" x14ac:dyDescent="0.25">
      <c r="A34" s="122" t="s">
        <v>220</v>
      </c>
      <c r="B34" s="124">
        <f>'SHEET A'!C5*B33*B31</f>
        <v>30</v>
      </c>
      <c r="C34" s="216"/>
      <c r="D34" s="219"/>
      <c r="F34" s="207"/>
      <c r="J34" s="7"/>
    </row>
    <row r="35" spans="1:10" ht="14.25" customHeight="1" x14ac:dyDescent="0.25">
      <c r="A35" s="122" t="s">
        <v>260</v>
      </c>
      <c r="B35" s="124">
        <f>'SHEET A'!C6*B33*B31</f>
        <v>150</v>
      </c>
      <c r="C35" s="216"/>
      <c r="D35" s="219"/>
      <c r="F35" s="207"/>
      <c r="J35" s="7"/>
    </row>
    <row r="36" spans="1:10" ht="14.25" customHeight="1" x14ac:dyDescent="0.25">
      <c r="A36" s="122" t="s">
        <v>161</v>
      </c>
      <c r="B36" s="124">
        <f>'SHEET A'!C10*B33*B31</f>
        <v>900</v>
      </c>
      <c r="C36" s="216"/>
      <c r="D36" s="219"/>
      <c r="F36" s="207"/>
      <c r="J36" s="7"/>
    </row>
    <row r="37" spans="1:10" ht="14.25" customHeight="1" x14ac:dyDescent="0.25">
      <c r="A37" s="122" t="s">
        <v>162</v>
      </c>
      <c r="B37" s="124">
        <f>'SHEET A'!C8*B33*B31</f>
        <v>2250</v>
      </c>
      <c r="C37" s="216"/>
      <c r="D37" s="219"/>
      <c r="F37" s="207"/>
      <c r="J37" s="7"/>
    </row>
    <row r="38" spans="1:10" ht="14.25" customHeight="1" thickBot="1" x14ac:dyDescent="0.3">
      <c r="A38" s="28" t="s">
        <v>222</v>
      </c>
      <c r="B38" s="86">
        <f>B34+B35+B36+B37+B32</f>
        <v>3360</v>
      </c>
      <c r="C38" s="217"/>
      <c r="D38" s="220"/>
      <c r="F38" s="207"/>
      <c r="J38" s="7"/>
    </row>
    <row r="39" spans="1:10" ht="15.75" thickBot="1" x14ac:dyDescent="0.3">
      <c r="A39" s="118" t="s">
        <v>115</v>
      </c>
      <c r="B39" s="119">
        <f>+B16+B21+B24+B29+B38</f>
        <v>52845</v>
      </c>
      <c r="C39" s="106"/>
      <c r="D39" s="40"/>
      <c r="F39" s="207"/>
      <c r="J39" s="7"/>
    </row>
    <row r="40" spans="1:10" ht="14.25" customHeight="1" thickBot="1" x14ac:dyDescent="0.3">
      <c r="A40" s="135" t="s">
        <v>68</v>
      </c>
      <c r="B40" s="7"/>
      <c r="C40" s="17"/>
      <c r="D40" s="17"/>
      <c r="F40" s="207"/>
      <c r="J40" s="7"/>
    </row>
    <row r="41" spans="1:10" ht="14.25" customHeight="1" x14ac:dyDescent="0.25">
      <c r="A41" s="136" t="s">
        <v>39</v>
      </c>
      <c r="B41" s="137">
        <v>100</v>
      </c>
      <c r="C41" s="212">
        <v>30</v>
      </c>
      <c r="D41" s="209">
        <f>C41/12</f>
        <v>2.5</v>
      </c>
      <c r="F41" s="207"/>
      <c r="J41" s="7"/>
    </row>
    <row r="42" spans="1:10" ht="14.25" customHeight="1" x14ac:dyDescent="0.25">
      <c r="A42" s="138" t="s">
        <v>225</v>
      </c>
      <c r="B42" s="139">
        <v>5</v>
      </c>
      <c r="C42" s="213"/>
      <c r="D42" s="210"/>
      <c r="F42" s="207"/>
      <c r="J42" s="7"/>
    </row>
    <row r="43" spans="1:10" ht="14.25" customHeight="1" x14ac:dyDescent="0.25">
      <c r="A43" s="138" t="s">
        <v>17</v>
      </c>
      <c r="B43" s="139">
        <f>B42*B41</f>
        <v>500</v>
      </c>
      <c r="C43" s="213"/>
      <c r="D43" s="210"/>
      <c r="F43" s="207"/>
      <c r="J43" s="7"/>
    </row>
    <row r="44" spans="1:10" ht="14.25" customHeight="1" x14ac:dyDescent="0.25">
      <c r="A44" s="138" t="s">
        <v>41</v>
      </c>
      <c r="B44" s="140">
        <f>'SHEET A'!C21</f>
        <v>0.3</v>
      </c>
      <c r="C44" s="213"/>
      <c r="D44" s="210"/>
      <c r="F44" s="207"/>
      <c r="J44" s="7"/>
    </row>
    <row r="45" spans="1:10" ht="14.25" customHeight="1" x14ac:dyDescent="0.25">
      <c r="A45" s="138" t="s">
        <v>223</v>
      </c>
      <c r="B45" s="140">
        <f>'SHEET A'!C22*2.5</f>
        <v>11.25</v>
      </c>
      <c r="C45" s="213"/>
      <c r="D45" s="210"/>
      <c r="F45" s="207"/>
      <c r="J45" s="7"/>
    </row>
    <row r="46" spans="1:10" ht="14.25" customHeight="1" x14ac:dyDescent="0.25">
      <c r="A46" s="138" t="s">
        <v>261</v>
      </c>
      <c r="B46" s="140">
        <f>+'SHEET A'!C22*'SHEET D'!B43*2.5</f>
        <v>5625</v>
      </c>
      <c r="C46" s="213"/>
      <c r="D46" s="210"/>
      <c r="F46" s="207"/>
      <c r="J46" s="7"/>
    </row>
    <row r="47" spans="1:10" ht="14.25" customHeight="1" x14ac:dyDescent="0.25">
      <c r="A47" s="138" t="s">
        <v>18</v>
      </c>
      <c r="B47" s="139">
        <v>100</v>
      </c>
      <c r="C47" s="213"/>
      <c r="D47" s="210"/>
      <c r="F47" s="207"/>
      <c r="J47" s="7"/>
    </row>
    <row r="48" spans="1:10" ht="14.25" customHeight="1" x14ac:dyDescent="0.25">
      <c r="A48" s="138" t="s">
        <v>42</v>
      </c>
      <c r="B48" s="140">
        <f>'SHEET A'!C23</f>
        <v>1.7999999999999998</v>
      </c>
      <c r="C48" s="213"/>
      <c r="D48" s="210"/>
      <c r="F48" s="207"/>
      <c r="J48" s="7"/>
    </row>
    <row r="49" spans="1:10" ht="14.25" customHeight="1" thickBot="1" x14ac:dyDescent="0.3">
      <c r="A49" s="141" t="s">
        <v>43</v>
      </c>
      <c r="B49" s="142">
        <f>(B43*B44)+(B43*B45)+(B47*B48)</f>
        <v>5955</v>
      </c>
      <c r="C49" s="214"/>
      <c r="D49" s="211"/>
      <c r="F49" s="208"/>
      <c r="J49" s="7"/>
    </row>
    <row r="50" spans="1:10" ht="15.75" thickBot="1" x14ac:dyDescent="0.3">
      <c r="A50" s="118" t="s">
        <v>115</v>
      </c>
      <c r="B50" s="119">
        <f>+B39+B49</f>
        <v>58800</v>
      </c>
      <c r="C50" s="106"/>
      <c r="D50" s="40"/>
      <c r="F50" s="172"/>
      <c r="J50" s="7"/>
    </row>
    <row r="51" spans="1:10" ht="15.75" thickBot="1" x14ac:dyDescent="0.3">
      <c r="A51" s="24" t="s">
        <v>87</v>
      </c>
      <c r="B51" s="100"/>
      <c r="C51" s="16"/>
      <c r="D51" s="16"/>
      <c r="F51" s="172"/>
      <c r="J51" s="7"/>
    </row>
    <row r="52" spans="1:10" x14ac:dyDescent="0.25">
      <c r="A52" s="25" t="s">
        <v>141</v>
      </c>
      <c r="B52" s="93">
        <f>'SHEET A'!C12</f>
        <v>0.06</v>
      </c>
      <c r="C52" s="215">
        <v>3</v>
      </c>
      <c r="D52" s="218">
        <f>C52/12</f>
        <v>0.25</v>
      </c>
      <c r="F52" s="206" t="s">
        <v>145</v>
      </c>
      <c r="J52" s="7"/>
    </row>
    <row r="53" spans="1:10" x14ac:dyDescent="0.25">
      <c r="A53" s="26" t="s">
        <v>147</v>
      </c>
      <c r="B53" s="27">
        <v>100</v>
      </c>
      <c r="C53" s="216"/>
      <c r="D53" s="219"/>
      <c r="F53" s="207"/>
      <c r="J53" s="7"/>
    </row>
    <row r="54" spans="1:10" x14ac:dyDescent="0.25">
      <c r="A54" s="26" t="s">
        <v>208</v>
      </c>
      <c r="B54" s="27">
        <v>30</v>
      </c>
      <c r="C54" s="216"/>
      <c r="D54" s="219"/>
      <c r="F54" s="207"/>
      <c r="J54" s="7"/>
    </row>
    <row r="55" spans="1:10" x14ac:dyDescent="0.25">
      <c r="A55" s="26" t="s">
        <v>9</v>
      </c>
      <c r="B55" s="27">
        <f>B53*B54</f>
        <v>3000</v>
      </c>
      <c r="C55" s="216"/>
      <c r="D55" s="219"/>
      <c r="F55" s="207"/>
      <c r="J55" s="7"/>
    </row>
    <row r="56" spans="1:10" ht="15.75" thickBot="1" x14ac:dyDescent="0.3">
      <c r="A56" s="28" t="s">
        <v>142</v>
      </c>
      <c r="B56" s="94">
        <f>B52*B55</f>
        <v>180</v>
      </c>
      <c r="C56" s="217"/>
      <c r="D56" s="220"/>
      <c r="F56" s="207"/>
      <c r="J56" s="7"/>
    </row>
    <row r="57" spans="1:10" ht="15.75" thickBot="1" x14ac:dyDescent="0.3">
      <c r="A57" s="24" t="s">
        <v>88</v>
      </c>
      <c r="B57" s="12"/>
      <c r="C57" s="29"/>
      <c r="D57" s="29"/>
      <c r="F57" s="207"/>
      <c r="J57" s="7"/>
    </row>
    <row r="58" spans="1:10" x14ac:dyDescent="0.25">
      <c r="A58" s="25" t="s">
        <v>148</v>
      </c>
      <c r="B58" s="114">
        <v>100</v>
      </c>
      <c r="C58" s="215">
        <v>3</v>
      </c>
      <c r="D58" s="218">
        <f>C58/12</f>
        <v>0.25</v>
      </c>
      <c r="F58" s="207"/>
      <c r="J58" s="7"/>
    </row>
    <row r="59" spans="1:10" x14ac:dyDescent="0.25">
      <c r="A59" s="26" t="s">
        <v>209</v>
      </c>
      <c r="B59" s="27">
        <v>20</v>
      </c>
      <c r="C59" s="216"/>
      <c r="D59" s="219"/>
      <c r="F59" s="207"/>
      <c r="J59" s="7"/>
    </row>
    <row r="60" spans="1:10" x14ac:dyDescent="0.25">
      <c r="A60" s="26" t="s">
        <v>16</v>
      </c>
      <c r="B60" s="115">
        <f>'SHEET A'!C15</f>
        <v>24</v>
      </c>
      <c r="C60" s="216"/>
      <c r="D60" s="219"/>
      <c r="F60" s="207"/>
      <c r="J60" s="7"/>
    </row>
    <row r="61" spans="1:10" x14ac:dyDescent="0.25">
      <c r="A61" s="26" t="s">
        <v>107</v>
      </c>
      <c r="B61" s="116">
        <f>B58*B60*B59</f>
        <v>48000</v>
      </c>
      <c r="C61" s="216"/>
      <c r="D61" s="219"/>
      <c r="F61" s="207"/>
      <c r="J61" s="7"/>
    </row>
    <row r="62" spans="1:10" x14ac:dyDescent="0.25">
      <c r="A62" s="26" t="s">
        <v>108</v>
      </c>
      <c r="B62" s="27">
        <v>100</v>
      </c>
      <c r="C62" s="216"/>
      <c r="D62" s="219"/>
      <c r="F62" s="207"/>
      <c r="J62" s="7"/>
    </row>
    <row r="63" spans="1:10" x14ac:dyDescent="0.25">
      <c r="A63" s="122" t="s">
        <v>227</v>
      </c>
      <c r="B63" s="121">
        <f>(B59*B53)</f>
        <v>2000</v>
      </c>
      <c r="C63" s="216"/>
      <c r="D63" s="219"/>
      <c r="F63" s="207"/>
      <c r="J63" s="7"/>
    </row>
    <row r="64" spans="1:10" ht="15.75" thickBot="1" x14ac:dyDescent="0.3">
      <c r="A64" s="28" t="s">
        <v>206</v>
      </c>
      <c r="B64" s="94">
        <f>'SHEET A'!C32*B63</f>
        <v>960</v>
      </c>
      <c r="C64" s="176"/>
      <c r="D64" s="177"/>
      <c r="F64" s="207"/>
      <c r="J64" s="7"/>
    </row>
    <row r="65" spans="1:10" ht="15.75" thickBot="1" x14ac:dyDescent="0.3">
      <c r="A65" s="24" t="s">
        <v>114</v>
      </c>
      <c r="B65" s="12"/>
      <c r="C65" s="29"/>
      <c r="D65" s="29"/>
      <c r="F65" s="207"/>
      <c r="J65" s="7"/>
    </row>
    <row r="66" spans="1:10" x14ac:dyDescent="0.25">
      <c r="A66" s="25" t="s">
        <v>39</v>
      </c>
      <c r="B66" s="114">
        <v>100</v>
      </c>
      <c r="C66" s="215">
        <v>6</v>
      </c>
      <c r="D66" s="218">
        <f>C66/12</f>
        <v>0.5</v>
      </c>
      <c r="F66" s="207"/>
      <c r="J66" s="7"/>
    </row>
    <row r="67" spans="1:10" x14ac:dyDescent="0.25">
      <c r="A67" s="26" t="s">
        <v>52</v>
      </c>
      <c r="B67" s="117">
        <f>'SHEET A'!C13</f>
        <v>0.15</v>
      </c>
      <c r="C67" s="216"/>
      <c r="D67" s="219"/>
      <c r="F67" s="207"/>
      <c r="J67" s="7"/>
    </row>
    <row r="68" spans="1:10" x14ac:dyDescent="0.25">
      <c r="A68" s="26" t="s">
        <v>40</v>
      </c>
      <c r="B68" s="27">
        <v>5</v>
      </c>
      <c r="C68" s="216"/>
      <c r="D68" s="219"/>
      <c r="F68" s="207"/>
      <c r="J68" s="7"/>
    </row>
    <row r="69" spans="1:10" ht="15.75" thickBot="1" x14ac:dyDescent="0.3">
      <c r="A69" s="28" t="s">
        <v>96</v>
      </c>
      <c r="B69" s="94">
        <f>B66*B68*B67</f>
        <v>75</v>
      </c>
      <c r="C69" s="217"/>
      <c r="D69" s="220"/>
      <c r="F69" s="207"/>
      <c r="J69" s="7"/>
    </row>
    <row r="70" spans="1:10" ht="15.75" thickBot="1" x14ac:dyDescent="0.3">
      <c r="A70" s="24" t="s">
        <v>98</v>
      </c>
      <c r="B70" s="12"/>
      <c r="C70" s="29"/>
      <c r="D70" s="29"/>
      <c r="F70" s="207"/>
      <c r="J70" s="7"/>
    </row>
    <row r="71" spans="1:10" x14ac:dyDescent="0.25">
      <c r="A71" s="25" t="s">
        <v>224</v>
      </c>
      <c r="B71" s="114">
        <v>100</v>
      </c>
      <c r="C71" s="215">
        <v>6</v>
      </c>
      <c r="D71" s="218">
        <f>C71/12</f>
        <v>0.5</v>
      </c>
      <c r="F71" s="207"/>
      <c r="J71" s="7"/>
    </row>
    <row r="72" spans="1:10" x14ac:dyDescent="0.25">
      <c r="A72" s="122" t="s">
        <v>166</v>
      </c>
      <c r="B72" s="124">
        <f>'SHEET A'!C21*B71</f>
        <v>30</v>
      </c>
      <c r="C72" s="216"/>
      <c r="D72" s="219"/>
      <c r="F72" s="207"/>
      <c r="J72" s="7"/>
    </row>
    <row r="73" spans="1:10" x14ac:dyDescent="0.25">
      <c r="A73" s="26" t="s">
        <v>160</v>
      </c>
      <c r="B73" s="27">
        <v>5</v>
      </c>
      <c r="C73" s="216"/>
      <c r="D73" s="219"/>
      <c r="F73" s="207"/>
      <c r="J73" s="7"/>
    </row>
    <row r="74" spans="1:10" x14ac:dyDescent="0.25">
      <c r="A74" s="122" t="s">
        <v>220</v>
      </c>
      <c r="B74" s="124">
        <f>'SHEET A'!C5*B73*B71</f>
        <v>30</v>
      </c>
      <c r="C74" s="216"/>
      <c r="D74" s="219"/>
      <c r="F74" s="207"/>
      <c r="J74" s="7"/>
    </row>
    <row r="75" spans="1:10" x14ac:dyDescent="0.25">
      <c r="A75" s="122" t="s">
        <v>221</v>
      </c>
      <c r="B75" s="124">
        <f>'SHEET A'!C6*B73*B71</f>
        <v>150</v>
      </c>
      <c r="C75" s="216"/>
      <c r="D75" s="219"/>
      <c r="F75" s="207"/>
      <c r="J75" s="7"/>
    </row>
    <row r="76" spans="1:10" x14ac:dyDescent="0.25">
      <c r="A76" s="122" t="s">
        <v>161</v>
      </c>
      <c r="B76" s="124">
        <f>'SHEET A'!C10*B73*B71</f>
        <v>900</v>
      </c>
      <c r="C76" s="216"/>
      <c r="D76" s="219"/>
      <c r="F76" s="207"/>
      <c r="J76" s="7"/>
    </row>
    <row r="77" spans="1:10" x14ac:dyDescent="0.25">
      <c r="A77" s="122" t="s">
        <v>162</v>
      </c>
      <c r="B77" s="124">
        <f>'SHEET A'!C8*B73*B71</f>
        <v>2250</v>
      </c>
      <c r="C77" s="216"/>
      <c r="D77" s="219"/>
      <c r="F77" s="207"/>
      <c r="J77" s="7"/>
    </row>
    <row r="78" spans="1:10" ht="15.75" thickBot="1" x14ac:dyDescent="0.3">
      <c r="A78" s="28" t="s">
        <v>222</v>
      </c>
      <c r="B78" s="86">
        <f>B74+B75+B76+B77+B72</f>
        <v>3360</v>
      </c>
      <c r="C78" s="217"/>
      <c r="D78" s="220"/>
      <c r="F78" s="207"/>
      <c r="J78" s="7"/>
    </row>
    <row r="79" spans="1:10" ht="15.75" thickBot="1" x14ac:dyDescent="0.3">
      <c r="A79" s="118" t="s">
        <v>115</v>
      </c>
      <c r="B79" s="119">
        <f>+B56+B61+B64+B69+B78</f>
        <v>52575</v>
      </c>
      <c r="C79" s="106"/>
      <c r="D79" s="40"/>
      <c r="F79" s="207"/>
      <c r="J79" s="7"/>
    </row>
    <row r="80" spans="1:10" ht="15.75" thickBot="1" x14ac:dyDescent="0.3">
      <c r="A80" s="135" t="s">
        <v>102</v>
      </c>
      <c r="B80" s="7"/>
      <c r="C80" s="17"/>
      <c r="D80" s="17"/>
      <c r="F80" s="207"/>
      <c r="J80" s="7"/>
    </row>
    <row r="81" spans="1:10" x14ac:dyDescent="0.25">
      <c r="A81" s="136" t="s">
        <v>39</v>
      </c>
      <c r="B81" s="137">
        <v>100</v>
      </c>
      <c r="C81" s="212">
        <v>30</v>
      </c>
      <c r="D81" s="209">
        <f>C81/12</f>
        <v>2.5</v>
      </c>
      <c r="F81" s="207"/>
      <c r="J81" s="7"/>
    </row>
    <row r="82" spans="1:10" x14ac:dyDescent="0.25">
      <c r="A82" s="138" t="s">
        <v>225</v>
      </c>
      <c r="B82" s="139">
        <v>5</v>
      </c>
      <c r="C82" s="213"/>
      <c r="D82" s="210"/>
      <c r="F82" s="207"/>
      <c r="J82" s="7"/>
    </row>
    <row r="83" spans="1:10" x14ac:dyDescent="0.25">
      <c r="A83" s="138" t="s">
        <v>17</v>
      </c>
      <c r="B83" s="139">
        <f>+B81*B82</f>
        <v>500</v>
      </c>
      <c r="C83" s="213"/>
      <c r="D83" s="210"/>
      <c r="F83" s="207"/>
      <c r="J83" s="7"/>
    </row>
    <row r="84" spans="1:10" x14ac:dyDescent="0.25">
      <c r="A84" s="138" t="s">
        <v>41</v>
      </c>
      <c r="B84" s="140">
        <f>'SHEET A'!C21</f>
        <v>0.3</v>
      </c>
      <c r="C84" s="213"/>
      <c r="D84" s="210"/>
      <c r="F84" s="207"/>
      <c r="J84" s="7"/>
    </row>
    <row r="85" spans="1:10" x14ac:dyDescent="0.25">
      <c r="A85" s="138" t="s">
        <v>223</v>
      </c>
      <c r="B85" s="140">
        <f>'SHEET A'!C22*2.5</f>
        <v>11.25</v>
      </c>
      <c r="C85" s="213"/>
      <c r="D85" s="210"/>
      <c r="F85" s="207"/>
      <c r="J85" s="7"/>
    </row>
    <row r="86" spans="1:10" x14ac:dyDescent="0.25">
      <c r="A86" s="138" t="s">
        <v>18</v>
      </c>
      <c r="B86" s="139">
        <v>100</v>
      </c>
      <c r="C86" s="213"/>
      <c r="D86" s="210"/>
      <c r="F86" s="207"/>
      <c r="J86" s="7"/>
    </row>
    <row r="87" spans="1:10" x14ac:dyDescent="0.25">
      <c r="A87" s="138" t="s">
        <v>42</v>
      </c>
      <c r="B87" s="140">
        <f>'SHEET A'!C23</f>
        <v>1.7999999999999998</v>
      </c>
      <c r="C87" s="213"/>
      <c r="D87" s="210"/>
      <c r="F87" s="207"/>
      <c r="J87" s="7"/>
    </row>
    <row r="88" spans="1:10" ht="15.75" thickBot="1" x14ac:dyDescent="0.3">
      <c r="A88" s="141" t="s">
        <v>43</v>
      </c>
      <c r="B88" s="142">
        <f>(B83*B84)+(B83*B85)+(B86*B87)</f>
        <v>5955</v>
      </c>
      <c r="C88" s="214"/>
      <c r="D88" s="211"/>
      <c r="F88" s="208"/>
      <c r="J88" s="7"/>
    </row>
    <row r="89" spans="1:10" ht="15.75" thickBot="1" x14ac:dyDescent="0.3">
      <c r="A89" s="118" t="s">
        <v>116</v>
      </c>
      <c r="B89" s="119">
        <f>+B88+B79</f>
        <v>58530</v>
      </c>
      <c r="C89" s="106"/>
      <c r="D89" s="40"/>
      <c r="F89" s="172"/>
      <c r="J89" s="7"/>
    </row>
    <row r="90" spans="1:10" ht="15.75" thickBot="1" x14ac:dyDescent="0.3">
      <c r="A90" s="24" t="s">
        <v>168</v>
      </c>
      <c r="B90" s="100"/>
      <c r="C90" s="16"/>
      <c r="D90" s="16"/>
      <c r="F90" s="172"/>
      <c r="J90" s="7"/>
    </row>
    <row r="91" spans="1:10" x14ac:dyDescent="0.25">
      <c r="A91" s="25" t="s">
        <v>141</v>
      </c>
      <c r="B91" s="93">
        <f>'SHEET A'!C12</f>
        <v>0.06</v>
      </c>
      <c r="C91" s="215">
        <v>3</v>
      </c>
      <c r="D91" s="218">
        <f>C91/12</f>
        <v>0.25</v>
      </c>
      <c r="F91" s="206" t="s">
        <v>146</v>
      </c>
      <c r="J91" s="7"/>
    </row>
    <row r="92" spans="1:10" x14ac:dyDescent="0.25">
      <c r="A92" s="26" t="s">
        <v>149</v>
      </c>
      <c r="B92" s="27">
        <v>100</v>
      </c>
      <c r="C92" s="216"/>
      <c r="D92" s="219"/>
      <c r="F92" s="207"/>
      <c r="J92" s="7"/>
    </row>
    <row r="93" spans="1:10" x14ac:dyDescent="0.25">
      <c r="A93" s="26" t="s">
        <v>211</v>
      </c>
      <c r="B93" s="27">
        <v>30</v>
      </c>
      <c r="C93" s="216"/>
      <c r="D93" s="219"/>
      <c r="F93" s="207"/>
      <c r="J93" s="7"/>
    </row>
    <row r="94" spans="1:10" x14ac:dyDescent="0.25">
      <c r="A94" s="26" t="s">
        <v>9</v>
      </c>
      <c r="B94" s="27">
        <f>B92*B93</f>
        <v>3000</v>
      </c>
      <c r="C94" s="216"/>
      <c r="D94" s="219"/>
      <c r="F94" s="207"/>
      <c r="J94" s="7"/>
    </row>
    <row r="95" spans="1:10" ht="15.75" thickBot="1" x14ac:dyDescent="0.3">
      <c r="A95" s="28" t="s">
        <v>142</v>
      </c>
      <c r="B95" s="94">
        <f>B91*B94</f>
        <v>180</v>
      </c>
      <c r="C95" s="217"/>
      <c r="D95" s="220"/>
      <c r="F95" s="207"/>
      <c r="J95" s="7"/>
    </row>
    <row r="96" spans="1:10" ht="15.75" thickBot="1" x14ac:dyDescent="0.3">
      <c r="A96" s="24" t="s">
        <v>99</v>
      </c>
      <c r="B96" s="12"/>
      <c r="C96" s="29"/>
      <c r="D96" s="29"/>
      <c r="F96" s="207"/>
      <c r="J96" s="7"/>
    </row>
    <row r="97" spans="1:10" x14ac:dyDescent="0.25">
      <c r="A97" s="25" t="s">
        <v>106</v>
      </c>
      <c r="B97" s="114">
        <v>100</v>
      </c>
      <c r="C97" s="215">
        <v>3</v>
      </c>
      <c r="D97" s="218">
        <f>C97/12</f>
        <v>0.25</v>
      </c>
      <c r="F97" s="207"/>
      <c r="J97" s="7"/>
    </row>
    <row r="98" spans="1:10" x14ac:dyDescent="0.25">
      <c r="A98" s="26" t="s">
        <v>128</v>
      </c>
      <c r="B98" s="27">
        <v>20</v>
      </c>
      <c r="C98" s="216"/>
      <c r="D98" s="219"/>
      <c r="F98" s="207"/>
      <c r="J98" s="7"/>
    </row>
    <row r="99" spans="1:10" x14ac:dyDescent="0.25">
      <c r="A99" s="26" t="s">
        <v>16</v>
      </c>
      <c r="B99" s="115">
        <f>'SHEET A'!C15</f>
        <v>24</v>
      </c>
      <c r="C99" s="216"/>
      <c r="D99" s="219"/>
      <c r="F99" s="207"/>
      <c r="J99" s="7"/>
    </row>
    <row r="100" spans="1:10" x14ac:dyDescent="0.25">
      <c r="A100" s="26" t="s">
        <v>107</v>
      </c>
      <c r="B100" s="116">
        <f>B97*B99*B98</f>
        <v>48000</v>
      </c>
      <c r="C100" s="216"/>
      <c r="D100" s="219"/>
      <c r="F100" s="207"/>
      <c r="J100" s="7"/>
    </row>
    <row r="101" spans="1:10" x14ac:dyDescent="0.25">
      <c r="A101" s="26" t="s">
        <v>108</v>
      </c>
      <c r="B101" s="27">
        <v>100</v>
      </c>
      <c r="C101" s="216"/>
      <c r="D101" s="219"/>
      <c r="F101" s="207"/>
      <c r="J101" s="7"/>
    </row>
    <row r="102" spans="1:10" x14ac:dyDescent="0.25">
      <c r="A102" s="122" t="s">
        <v>228</v>
      </c>
      <c r="B102" s="121">
        <f>(B98*B92)</f>
        <v>2000</v>
      </c>
      <c r="C102" s="216"/>
      <c r="D102" s="219"/>
      <c r="F102" s="207"/>
      <c r="J102" s="7"/>
    </row>
    <row r="103" spans="1:10" ht="15.75" thickBot="1" x14ac:dyDescent="0.3">
      <c r="A103" s="28" t="s">
        <v>226</v>
      </c>
      <c r="B103" s="94">
        <f>'SHEET A'!C32*B102</f>
        <v>960</v>
      </c>
      <c r="C103" s="217"/>
      <c r="D103" s="220"/>
      <c r="F103" s="207"/>
      <c r="J103" s="7"/>
    </row>
    <row r="104" spans="1:10" ht="15.75" thickBot="1" x14ac:dyDescent="0.3">
      <c r="A104" s="24" t="s">
        <v>91</v>
      </c>
      <c r="B104" s="12"/>
      <c r="C104" s="29"/>
      <c r="D104" s="29"/>
      <c r="F104" s="207"/>
      <c r="J104" s="7"/>
    </row>
    <row r="105" spans="1:10" x14ac:dyDescent="0.25">
      <c r="A105" s="25" t="s">
        <v>39</v>
      </c>
      <c r="B105" s="114">
        <v>100</v>
      </c>
      <c r="C105" s="215">
        <v>6</v>
      </c>
      <c r="D105" s="218">
        <f>C105/12</f>
        <v>0.5</v>
      </c>
      <c r="F105" s="207"/>
      <c r="J105" s="7"/>
    </row>
    <row r="106" spans="1:10" x14ac:dyDescent="0.25">
      <c r="A106" s="26" t="s">
        <v>52</v>
      </c>
      <c r="B106" s="117">
        <f>'SHEET A'!C13</f>
        <v>0.15</v>
      </c>
      <c r="C106" s="216"/>
      <c r="D106" s="219"/>
      <c r="F106" s="207"/>
      <c r="J106" s="7"/>
    </row>
    <row r="107" spans="1:10" x14ac:dyDescent="0.25">
      <c r="A107" s="26" t="s">
        <v>40</v>
      </c>
      <c r="B107" s="27">
        <v>5</v>
      </c>
      <c r="C107" s="216"/>
      <c r="D107" s="219"/>
      <c r="F107" s="207"/>
      <c r="J107" s="7"/>
    </row>
    <row r="108" spans="1:10" ht="15.75" thickBot="1" x14ac:dyDescent="0.3">
      <c r="A108" s="28" t="s">
        <v>96</v>
      </c>
      <c r="B108" s="94">
        <f>B105*B107*B106</f>
        <v>75</v>
      </c>
      <c r="C108" s="217"/>
      <c r="D108" s="220"/>
      <c r="F108" s="207"/>
      <c r="J108" s="7"/>
    </row>
    <row r="109" spans="1:10" ht="15.75" thickBot="1" x14ac:dyDescent="0.3">
      <c r="A109" s="24" t="s">
        <v>100</v>
      </c>
      <c r="B109" s="12"/>
      <c r="C109" s="29"/>
      <c r="D109" s="29"/>
      <c r="F109" s="207"/>
      <c r="J109" s="7"/>
    </row>
    <row r="110" spans="1:10" x14ac:dyDescent="0.25">
      <c r="A110" s="25" t="s">
        <v>229</v>
      </c>
      <c r="B110" s="114">
        <v>100</v>
      </c>
      <c r="C110" s="215">
        <v>6</v>
      </c>
      <c r="D110" s="218">
        <f>C110/12</f>
        <v>0.5</v>
      </c>
      <c r="F110" s="207"/>
      <c r="J110" s="7"/>
    </row>
    <row r="111" spans="1:10" x14ac:dyDescent="0.25">
      <c r="A111" s="122" t="s">
        <v>166</v>
      </c>
      <c r="B111" s="124">
        <f>'SHEET A'!C21*B110</f>
        <v>30</v>
      </c>
      <c r="C111" s="216"/>
      <c r="D111" s="219"/>
      <c r="F111" s="207"/>
      <c r="J111" s="7"/>
    </row>
    <row r="112" spans="1:10" x14ac:dyDescent="0.25">
      <c r="A112" s="26" t="s">
        <v>160</v>
      </c>
      <c r="B112" s="27">
        <v>5</v>
      </c>
      <c r="C112" s="216"/>
      <c r="D112" s="219"/>
      <c r="F112" s="207"/>
      <c r="J112" s="7"/>
    </row>
    <row r="113" spans="1:10" x14ac:dyDescent="0.25">
      <c r="A113" s="122" t="s">
        <v>220</v>
      </c>
      <c r="B113" s="124">
        <f>'SHEET A'!C5*B112*B110</f>
        <v>30</v>
      </c>
      <c r="C113" s="216"/>
      <c r="D113" s="219"/>
      <c r="F113" s="207"/>
      <c r="J113" s="7"/>
    </row>
    <row r="114" spans="1:10" x14ac:dyDescent="0.25">
      <c r="A114" s="122" t="s">
        <v>221</v>
      </c>
      <c r="B114" s="124">
        <f>'SHEET A'!C6*B112*B110</f>
        <v>150</v>
      </c>
      <c r="C114" s="216"/>
      <c r="D114" s="219"/>
      <c r="F114" s="207"/>
      <c r="J114" s="7"/>
    </row>
    <row r="115" spans="1:10" x14ac:dyDescent="0.25">
      <c r="A115" s="122" t="s">
        <v>161</v>
      </c>
      <c r="B115" s="124">
        <f>'SHEET A'!C10*B112*B110</f>
        <v>900</v>
      </c>
      <c r="C115" s="216"/>
      <c r="D115" s="219"/>
      <c r="F115" s="207"/>
      <c r="J115" s="7"/>
    </row>
    <row r="116" spans="1:10" x14ac:dyDescent="0.25">
      <c r="A116" s="122" t="s">
        <v>162</v>
      </c>
      <c r="B116" s="124">
        <f>'SHEET A'!C8*B112*B110</f>
        <v>2250</v>
      </c>
      <c r="C116" s="216"/>
      <c r="D116" s="219"/>
      <c r="F116" s="207"/>
      <c r="J116" s="7"/>
    </row>
    <row r="117" spans="1:10" ht="15.75" thickBot="1" x14ac:dyDescent="0.3">
      <c r="A117" s="28" t="s">
        <v>222</v>
      </c>
      <c r="B117" s="86">
        <f>B113+B114+B115+B116+B111</f>
        <v>3360</v>
      </c>
      <c r="C117" s="217"/>
      <c r="D117" s="220"/>
      <c r="F117" s="207"/>
      <c r="J117" s="7"/>
    </row>
    <row r="118" spans="1:10" ht="15.75" thickBot="1" x14ac:dyDescent="0.3">
      <c r="A118" s="118" t="s">
        <v>115</v>
      </c>
      <c r="B118" s="119">
        <f>+B95+B100+B103+B108+B117</f>
        <v>52575</v>
      </c>
      <c r="C118" s="106"/>
      <c r="D118" s="40"/>
      <c r="F118" s="207"/>
      <c r="J118" s="7"/>
    </row>
    <row r="119" spans="1:10" ht="15.75" thickBot="1" x14ac:dyDescent="0.3">
      <c r="A119" s="135" t="s">
        <v>101</v>
      </c>
      <c r="B119" s="7"/>
      <c r="C119" s="17"/>
      <c r="D119" s="17"/>
      <c r="F119" s="207"/>
      <c r="J119" s="7"/>
    </row>
    <row r="120" spans="1:10" x14ac:dyDescent="0.25">
      <c r="A120" s="136" t="s">
        <v>39</v>
      </c>
      <c r="B120" s="137">
        <v>100</v>
      </c>
      <c r="C120" s="212">
        <v>30</v>
      </c>
      <c r="D120" s="209">
        <f>C120/12</f>
        <v>2.5</v>
      </c>
      <c r="F120" s="207"/>
      <c r="J120" s="7"/>
    </row>
    <row r="121" spans="1:10" x14ac:dyDescent="0.25">
      <c r="A121" s="138" t="s">
        <v>225</v>
      </c>
      <c r="B121" s="139">
        <v>5</v>
      </c>
      <c r="C121" s="213"/>
      <c r="D121" s="210"/>
      <c r="F121" s="207"/>
      <c r="J121" s="7"/>
    </row>
    <row r="122" spans="1:10" x14ac:dyDescent="0.25">
      <c r="A122" s="138" t="s">
        <v>17</v>
      </c>
      <c r="B122" s="139">
        <f>+B120*B121</f>
        <v>500</v>
      </c>
      <c r="C122" s="213"/>
      <c r="D122" s="210"/>
      <c r="F122" s="207"/>
      <c r="J122" s="7"/>
    </row>
    <row r="123" spans="1:10" x14ac:dyDescent="0.25">
      <c r="A123" s="138" t="s">
        <v>41</v>
      </c>
      <c r="B123" s="140">
        <f>'SHEET A'!C21</f>
        <v>0.3</v>
      </c>
      <c r="C123" s="213"/>
      <c r="D123" s="210"/>
      <c r="F123" s="207"/>
      <c r="J123" s="7"/>
    </row>
    <row r="124" spans="1:10" x14ac:dyDescent="0.25">
      <c r="A124" s="138" t="s">
        <v>223</v>
      </c>
      <c r="B124" s="140">
        <f>'SHEET A'!C22*2.5</f>
        <v>11.25</v>
      </c>
      <c r="C124" s="213"/>
      <c r="D124" s="210"/>
      <c r="F124" s="207"/>
      <c r="J124" s="7"/>
    </row>
    <row r="125" spans="1:10" x14ac:dyDescent="0.25">
      <c r="A125" s="138" t="s">
        <v>18</v>
      </c>
      <c r="B125" s="139">
        <v>100</v>
      </c>
      <c r="C125" s="213"/>
      <c r="D125" s="210"/>
      <c r="F125" s="207"/>
      <c r="J125" s="7"/>
    </row>
    <row r="126" spans="1:10" x14ac:dyDescent="0.25">
      <c r="A126" s="138" t="s">
        <v>42</v>
      </c>
      <c r="B126" s="140">
        <f>'SHEET A'!C23</f>
        <v>1.7999999999999998</v>
      </c>
      <c r="C126" s="213"/>
      <c r="D126" s="210"/>
      <c r="F126" s="207"/>
      <c r="J126" s="7"/>
    </row>
    <row r="127" spans="1:10" ht="15.75" thickBot="1" x14ac:dyDescent="0.3">
      <c r="A127" s="141" t="s">
        <v>43</v>
      </c>
      <c r="B127" s="142">
        <f>(B122*B123)+(B122*B124)+(B125*B126)</f>
        <v>5955</v>
      </c>
      <c r="C127" s="214"/>
      <c r="D127" s="211"/>
      <c r="F127" s="208"/>
      <c r="J127" s="7"/>
    </row>
    <row r="128" spans="1:10" ht="15.75" thickBot="1" x14ac:dyDescent="0.3">
      <c r="A128" s="118" t="s">
        <v>117</v>
      </c>
      <c r="B128" s="119">
        <f>+B118+B127</f>
        <v>58530</v>
      </c>
      <c r="C128" s="106"/>
      <c r="D128" s="40"/>
      <c r="F128" s="172"/>
      <c r="J128" s="7"/>
    </row>
    <row r="129" spans="1:10" ht="15.75" thickBot="1" x14ac:dyDescent="0.3">
      <c r="A129" s="24" t="s">
        <v>167</v>
      </c>
      <c r="B129" s="100"/>
      <c r="C129" s="16"/>
      <c r="D129" s="16"/>
      <c r="J129" s="7"/>
    </row>
    <row r="130" spans="1:10" x14ac:dyDescent="0.25">
      <c r="A130" s="25" t="s">
        <v>141</v>
      </c>
      <c r="B130" s="93">
        <f>'SHEET A'!C12</f>
        <v>0.06</v>
      </c>
      <c r="C130" s="215">
        <v>3</v>
      </c>
      <c r="D130" s="218">
        <f>C130/12</f>
        <v>0.25</v>
      </c>
      <c r="F130" s="206" t="s">
        <v>151</v>
      </c>
      <c r="J130" s="7"/>
    </row>
    <row r="131" spans="1:10" x14ac:dyDescent="0.25">
      <c r="A131" s="26" t="s">
        <v>150</v>
      </c>
      <c r="B131" s="27">
        <v>100</v>
      </c>
      <c r="C131" s="216"/>
      <c r="D131" s="219"/>
      <c r="F131" s="207"/>
      <c r="J131" s="7"/>
    </row>
    <row r="132" spans="1:10" x14ac:dyDescent="0.25">
      <c r="A132" s="26" t="s">
        <v>211</v>
      </c>
      <c r="B132" s="27">
        <v>30</v>
      </c>
      <c r="C132" s="216"/>
      <c r="D132" s="219"/>
      <c r="F132" s="207"/>
      <c r="J132" s="7"/>
    </row>
    <row r="133" spans="1:10" x14ac:dyDescent="0.25">
      <c r="A133" s="26" t="s">
        <v>9</v>
      </c>
      <c r="B133" s="27">
        <f>B131*B132</f>
        <v>3000</v>
      </c>
      <c r="C133" s="216"/>
      <c r="D133" s="219"/>
      <c r="F133" s="207"/>
      <c r="J133" s="7"/>
    </row>
    <row r="134" spans="1:10" ht="15.75" thickBot="1" x14ac:dyDescent="0.3">
      <c r="A134" s="28" t="s">
        <v>142</v>
      </c>
      <c r="B134" s="94">
        <f>B130*B133</f>
        <v>180</v>
      </c>
      <c r="C134" s="217"/>
      <c r="D134" s="220"/>
      <c r="F134" s="207"/>
      <c r="J134" s="7"/>
    </row>
    <row r="135" spans="1:10" ht="15.75" thickBot="1" x14ac:dyDescent="0.3">
      <c r="A135" s="24" t="s">
        <v>103</v>
      </c>
      <c r="B135" s="12"/>
      <c r="C135" s="29"/>
      <c r="D135" s="29"/>
      <c r="F135" s="207"/>
      <c r="J135" s="7"/>
    </row>
    <row r="136" spans="1:10" x14ac:dyDescent="0.25">
      <c r="A136" s="25" t="s">
        <v>106</v>
      </c>
      <c r="B136" s="114">
        <v>100</v>
      </c>
      <c r="C136" s="215">
        <v>3</v>
      </c>
      <c r="D136" s="218">
        <f>C136/12</f>
        <v>0.25</v>
      </c>
      <c r="F136" s="207"/>
      <c r="J136" s="7"/>
    </row>
    <row r="137" spans="1:10" x14ac:dyDescent="0.25">
      <c r="A137" s="26" t="s">
        <v>128</v>
      </c>
      <c r="B137" s="27">
        <v>20</v>
      </c>
      <c r="C137" s="216"/>
      <c r="D137" s="219"/>
      <c r="F137" s="207"/>
      <c r="J137" s="7"/>
    </row>
    <row r="138" spans="1:10" x14ac:dyDescent="0.25">
      <c r="A138" s="26" t="s">
        <v>16</v>
      </c>
      <c r="B138" s="115">
        <f>'SHEET A'!C15</f>
        <v>24</v>
      </c>
      <c r="C138" s="216"/>
      <c r="D138" s="219"/>
      <c r="F138" s="207"/>
      <c r="J138" s="7"/>
    </row>
    <row r="139" spans="1:10" x14ac:dyDescent="0.25">
      <c r="A139" s="26" t="s">
        <v>107</v>
      </c>
      <c r="B139" s="116">
        <f>B136*B138*B137</f>
        <v>48000</v>
      </c>
      <c r="C139" s="216"/>
      <c r="D139" s="219"/>
      <c r="F139" s="207"/>
      <c r="J139" s="7"/>
    </row>
    <row r="140" spans="1:10" x14ac:dyDescent="0.25">
      <c r="A140" s="26" t="s">
        <v>108</v>
      </c>
      <c r="B140" s="27">
        <v>100</v>
      </c>
      <c r="C140" s="216"/>
      <c r="D140" s="219"/>
      <c r="F140" s="207"/>
      <c r="J140" s="7"/>
    </row>
    <row r="141" spans="1:10" x14ac:dyDescent="0.25">
      <c r="A141" s="122" t="s">
        <v>228</v>
      </c>
      <c r="B141" s="121">
        <f>(B137*B131)</f>
        <v>2000</v>
      </c>
      <c r="C141" s="216"/>
      <c r="D141" s="219"/>
      <c r="F141" s="207"/>
      <c r="J141" s="7"/>
    </row>
    <row r="142" spans="1:10" ht="15.75" thickBot="1" x14ac:dyDescent="0.3">
      <c r="A142" s="28" t="s">
        <v>226</v>
      </c>
      <c r="B142" s="94">
        <f>'SHEET A'!C32*B141</f>
        <v>960</v>
      </c>
      <c r="C142" s="217"/>
      <c r="D142" s="220"/>
      <c r="F142" s="207"/>
      <c r="J142" s="7"/>
    </row>
    <row r="143" spans="1:10" ht="15.75" thickBot="1" x14ac:dyDescent="0.3">
      <c r="A143" s="24" t="s">
        <v>114</v>
      </c>
      <c r="B143" s="12"/>
      <c r="C143" s="29"/>
      <c r="D143" s="29"/>
      <c r="F143" s="207"/>
      <c r="J143" s="7"/>
    </row>
    <row r="144" spans="1:10" x14ac:dyDescent="0.25">
      <c r="A144" s="25" t="s">
        <v>39</v>
      </c>
      <c r="B144" s="114">
        <v>100</v>
      </c>
      <c r="C144" s="215">
        <v>6</v>
      </c>
      <c r="D144" s="218">
        <f>C144/12</f>
        <v>0.5</v>
      </c>
      <c r="F144" s="207"/>
      <c r="J144" s="7"/>
    </row>
    <row r="145" spans="1:10" x14ac:dyDescent="0.25">
      <c r="A145" s="26" t="s">
        <v>52</v>
      </c>
      <c r="B145" s="117">
        <f>'SHEET A'!C13</f>
        <v>0.15</v>
      </c>
      <c r="C145" s="216"/>
      <c r="D145" s="219"/>
      <c r="F145" s="207"/>
      <c r="J145" s="7"/>
    </row>
    <row r="146" spans="1:10" x14ac:dyDescent="0.25">
      <c r="A146" s="26" t="s">
        <v>40</v>
      </c>
      <c r="B146" s="27">
        <v>5</v>
      </c>
      <c r="C146" s="216"/>
      <c r="D146" s="219"/>
      <c r="F146" s="207"/>
      <c r="J146" s="7"/>
    </row>
    <row r="147" spans="1:10" ht="15.75" thickBot="1" x14ac:dyDescent="0.3">
      <c r="A147" s="28" t="s">
        <v>96</v>
      </c>
      <c r="B147" s="94">
        <f>B144*B146*B145</f>
        <v>75</v>
      </c>
      <c r="C147" s="217"/>
      <c r="D147" s="220"/>
      <c r="F147" s="207"/>
      <c r="J147" s="7"/>
    </row>
    <row r="148" spans="1:10" ht="15.75" thickBot="1" x14ac:dyDescent="0.3">
      <c r="A148" s="24" t="s">
        <v>104</v>
      </c>
      <c r="B148" s="12"/>
      <c r="C148" s="29"/>
      <c r="D148" s="29"/>
      <c r="F148" s="207"/>
      <c r="J148" s="7"/>
    </row>
    <row r="149" spans="1:10" x14ac:dyDescent="0.25">
      <c r="A149" s="25" t="s">
        <v>159</v>
      </c>
      <c r="B149" s="114">
        <v>100</v>
      </c>
      <c r="C149" s="215">
        <v>6</v>
      </c>
      <c r="D149" s="218">
        <f>C149/12</f>
        <v>0.5</v>
      </c>
      <c r="F149" s="207"/>
      <c r="J149" s="7"/>
    </row>
    <row r="150" spans="1:10" x14ac:dyDescent="0.25">
      <c r="A150" s="122" t="s">
        <v>166</v>
      </c>
      <c r="B150" s="124">
        <f>'SHEET A'!C21*B149</f>
        <v>30</v>
      </c>
      <c r="C150" s="216"/>
      <c r="D150" s="219"/>
      <c r="F150" s="207"/>
      <c r="J150" s="7"/>
    </row>
    <row r="151" spans="1:10" x14ac:dyDescent="0.25">
      <c r="A151" s="26" t="s">
        <v>160</v>
      </c>
      <c r="B151" s="27">
        <v>5</v>
      </c>
      <c r="C151" s="216"/>
      <c r="D151" s="219"/>
      <c r="F151" s="207"/>
      <c r="J151" s="7"/>
    </row>
    <row r="152" spans="1:10" x14ac:dyDescent="0.25">
      <c r="A152" s="122" t="s">
        <v>163</v>
      </c>
      <c r="B152" s="124">
        <f>'SHEET A'!C5*B151*B149</f>
        <v>30</v>
      </c>
      <c r="C152" s="216"/>
      <c r="D152" s="219"/>
      <c r="F152" s="207"/>
      <c r="J152" s="7"/>
    </row>
    <row r="153" spans="1:10" x14ac:dyDescent="0.25">
      <c r="A153" s="122" t="s">
        <v>164</v>
      </c>
      <c r="B153" s="124">
        <f>'SHEET A'!C6*B151*B149</f>
        <v>150</v>
      </c>
      <c r="C153" s="216"/>
      <c r="D153" s="219"/>
      <c r="F153" s="207"/>
      <c r="J153" s="7"/>
    </row>
    <row r="154" spans="1:10" x14ac:dyDescent="0.25">
      <c r="A154" s="122" t="s">
        <v>161</v>
      </c>
      <c r="B154" s="124">
        <f>'SHEET A'!C10*B151*B149</f>
        <v>900</v>
      </c>
      <c r="C154" s="216"/>
      <c r="D154" s="219"/>
      <c r="F154" s="207"/>
      <c r="J154" s="7"/>
    </row>
    <row r="155" spans="1:10" x14ac:dyDescent="0.25">
      <c r="A155" s="122" t="s">
        <v>162</v>
      </c>
      <c r="B155" s="124">
        <f>'SHEET A'!C8*B151*B149</f>
        <v>2250</v>
      </c>
      <c r="C155" s="216"/>
      <c r="D155" s="219"/>
      <c r="F155" s="207"/>
      <c r="J155" s="7"/>
    </row>
    <row r="156" spans="1:10" ht="15.75" thickBot="1" x14ac:dyDescent="0.3">
      <c r="A156" s="28" t="s">
        <v>165</v>
      </c>
      <c r="B156" s="86">
        <f>B152+B153+B154+B155+B150</f>
        <v>3360</v>
      </c>
      <c r="C156" s="217"/>
      <c r="D156" s="220"/>
      <c r="F156" s="207"/>
      <c r="J156" s="7"/>
    </row>
    <row r="157" spans="1:10" ht="15.75" thickBot="1" x14ac:dyDescent="0.3">
      <c r="A157" s="118" t="s">
        <v>115</v>
      </c>
      <c r="B157" s="119">
        <f>+B134+B139+B142+B147+B156</f>
        <v>52575</v>
      </c>
      <c r="C157" s="106"/>
      <c r="D157" s="40"/>
      <c r="F157" s="207"/>
      <c r="J157" s="7"/>
    </row>
    <row r="158" spans="1:10" ht="15.75" thickBot="1" x14ac:dyDescent="0.3">
      <c r="A158" s="135" t="s">
        <v>105</v>
      </c>
      <c r="B158" s="7"/>
      <c r="C158" s="17"/>
      <c r="D158" s="17"/>
      <c r="F158" s="207"/>
      <c r="J158" s="7"/>
    </row>
    <row r="159" spans="1:10" x14ac:dyDescent="0.25">
      <c r="A159" s="136" t="s">
        <v>39</v>
      </c>
      <c r="B159" s="137">
        <v>100</v>
      </c>
      <c r="C159" s="212">
        <v>30</v>
      </c>
      <c r="D159" s="209">
        <f>C159/12</f>
        <v>2.5</v>
      </c>
      <c r="F159" s="207"/>
      <c r="J159" s="7"/>
    </row>
    <row r="160" spans="1:10" x14ac:dyDescent="0.25">
      <c r="A160" s="138" t="s">
        <v>225</v>
      </c>
      <c r="B160" s="139">
        <v>5</v>
      </c>
      <c r="C160" s="213"/>
      <c r="D160" s="210"/>
      <c r="F160" s="207"/>
      <c r="J160" s="7"/>
    </row>
    <row r="161" spans="1:13" x14ac:dyDescent="0.25">
      <c r="A161" s="138" t="s">
        <v>17</v>
      </c>
      <c r="B161" s="139">
        <f>+B159*B160</f>
        <v>500</v>
      </c>
      <c r="C161" s="213"/>
      <c r="D161" s="210"/>
      <c r="F161" s="207"/>
      <c r="J161" s="7"/>
    </row>
    <row r="162" spans="1:13" x14ac:dyDescent="0.25">
      <c r="A162" s="138" t="s">
        <v>41</v>
      </c>
      <c r="B162" s="140">
        <f>'SHEET A'!C21</f>
        <v>0.3</v>
      </c>
      <c r="C162" s="213"/>
      <c r="D162" s="210"/>
      <c r="F162" s="207"/>
      <c r="J162" s="7"/>
    </row>
    <row r="163" spans="1:13" x14ac:dyDescent="0.25">
      <c r="A163" s="138" t="s">
        <v>223</v>
      </c>
      <c r="B163" s="140">
        <f>'SHEET A'!C22*2.5</f>
        <v>11.25</v>
      </c>
      <c r="C163" s="213"/>
      <c r="D163" s="210"/>
      <c r="F163" s="207"/>
      <c r="J163" s="7"/>
    </row>
    <row r="164" spans="1:13" x14ac:dyDescent="0.25">
      <c r="A164" s="138" t="s">
        <v>18</v>
      </c>
      <c r="B164" s="139">
        <v>100</v>
      </c>
      <c r="C164" s="213"/>
      <c r="D164" s="210"/>
      <c r="F164" s="207"/>
      <c r="J164" s="7"/>
    </row>
    <row r="165" spans="1:13" x14ac:dyDescent="0.25">
      <c r="A165" s="138" t="s">
        <v>42</v>
      </c>
      <c r="B165" s="140">
        <f>'SHEET A'!C23</f>
        <v>1.7999999999999998</v>
      </c>
      <c r="C165" s="213"/>
      <c r="D165" s="210"/>
      <c r="F165" s="207"/>
      <c r="J165" s="7"/>
    </row>
    <row r="166" spans="1:13" ht="15.75" thickBot="1" x14ac:dyDescent="0.3">
      <c r="A166" s="141" t="s">
        <v>43</v>
      </c>
      <c r="B166" s="142">
        <f>(B161*B162)+(B161*B163)+(B164*B165)</f>
        <v>5955</v>
      </c>
      <c r="C166" s="214"/>
      <c r="D166" s="211"/>
      <c r="F166" s="208"/>
      <c r="J166" s="7"/>
    </row>
    <row r="167" spans="1:13" ht="15.75" thickBot="1" x14ac:dyDescent="0.3">
      <c r="A167" s="118" t="s">
        <v>118</v>
      </c>
      <c r="B167" s="119">
        <f>+B157+B166</f>
        <v>58530</v>
      </c>
      <c r="C167" s="106"/>
      <c r="D167" s="40"/>
      <c r="J167" s="7"/>
    </row>
    <row r="168" spans="1:13" ht="22.5" customHeight="1" x14ac:dyDescent="0.4">
      <c r="A168" s="45" t="s">
        <v>15</v>
      </c>
      <c r="B168" s="123">
        <f>B9+B50+B89+B128+B167</f>
        <v>315570</v>
      </c>
      <c r="C168" s="46">
        <f>SUM(C11:C166)</f>
        <v>192</v>
      </c>
      <c r="D168" s="46">
        <f>+C168/12</f>
        <v>16</v>
      </c>
      <c r="F168" s="67"/>
    </row>
    <row r="169" spans="1:13" ht="14.25" customHeight="1" x14ac:dyDescent="0.25">
      <c r="B169" s="48"/>
      <c r="D169" s="46" t="s">
        <v>1</v>
      </c>
    </row>
    <row r="170" spans="1:13" ht="14.25" customHeight="1" x14ac:dyDescent="0.25">
      <c r="B170" s="90"/>
      <c r="G170" s="50"/>
      <c r="H170" s="50"/>
      <c r="I170" s="50"/>
      <c r="J170" s="51"/>
      <c r="K170" s="50"/>
      <c r="L170" s="50"/>
      <c r="M170" s="50"/>
    </row>
    <row r="171" spans="1:13" ht="17.25" customHeight="1" x14ac:dyDescent="0.3">
      <c r="A171" s="52" t="s">
        <v>57</v>
      </c>
      <c r="B171" s="53"/>
      <c r="C171" s="53"/>
      <c r="D171" s="54"/>
      <c r="G171" s="50"/>
      <c r="H171" s="50"/>
      <c r="I171" s="50"/>
      <c r="J171" s="51"/>
      <c r="K171" s="50"/>
      <c r="L171" s="50"/>
      <c r="M171" s="50"/>
    </row>
    <row r="172" spans="1:13" ht="14.25" customHeight="1" thickBot="1" x14ac:dyDescent="0.3">
      <c r="A172" s="55" t="s">
        <v>58</v>
      </c>
      <c r="B172" s="56"/>
      <c r="C172" s="53"/>
      <c r="D172" s="54"/>
      <c r="G172" s="50"/>
      <c r="H172" s="50"/>
      <c r="I172" s="50"/>
      <c r="J172" s="51"/>
      <c r="K172" s="50"/>
      <c r="L172" s="50"/>
      <c r="M172" s="50"/>
    </row>
    <row r="173" spans="1:13" ht="14.25" customHeight="1" x14ac:dyDescent="0.25">
      <c r="A173" s="30" t="s">
        <v>213</v>
      </c>
      <c r="B173" s="57">
        <f>B23</f>
        <v>2000</v>
      </c>
      <c r="C173" s="234">
        <v>6</v>
      </c>
      <c r="D173" s="237">
        <f>C173/12</f>
        <v>0.5</v>
      </c>
      <c r="F173" s="246" t="s">
        <v>156</v>
      </c>
      <c r="G173" s="50"/>
      <c r="H173" s="50"/>
      <c r="I173" s="50"/>
      <c r="J173" s="51"/>
      <c r="K173" s="50"/>
      <c r="L173" s="50"/>
      <c r="M173" s="50"/>
    </row>
    <row r="174" spans="1:13" x14ac:dyDescent="0.25">
      <c r="A174" s="31" t="s">
        <v>214</v>
      </c>
      <c r="B174" s="120">
        <v>2000</v>
      </c>
      <c r="C174" s="235"/>
      <c r="D174" s="238"/>
      <c r="F174" s="247"/>
      <c r="G174" s="4"/>
      <c r="H174" s="13"/>
      <c r="I174" s="233"/>
      <c r="J174" s="233"/>
      <c r="K174" s="50"/>
      <c r="L174" s="50"/>
      <c r="M174" s="50"/>
    </row>
    <row r="175" spans="1:13" x14ac:dyDescent="0.25">
      <c r="A175" s="31" t="s">
        <v>97</v>
      </c>
      <c r="B175" s="120">
        <f>+B173+B174</f>
        <v>4000</v>
      </c>
      <c r="C175" s="235"/>
      <c r="D175" s="238"/>
      <c r="F175" s="247"/>
      <c r="G175" s="4"/>
      <c r="H175" s="4"/>
      <c r="I175" s="233"/>
      <c r="J175" s="233"/>
      <c r="K175" s="50"/>
      <c r="L175" s="50"/>
      <c r="M175" s="50"/>
    </row>
    <row r="176" spans="1:13" ht="14.25" customHeight="1" x14ac:dyDescent="0.25">
      <c r="A176" s="31" t="s">
        <v>232</v>
      </c>
      <c r="B176" s="95">
        <f>'SHEET A'!C13</f>
        <v>0.15</v>
      </c>
      <c r="C176" s="235"/>
      <c r="D176" s="238"/>
      <c r="F176" s="247"/>
      <c r="G176" s="4"/>
      <c r="H176" s="4"/>
      <c r="I176" s="233"/>
      <c r="J176" s="233"/>
      <c r="K176" s="50"/>
      <c r="L176" s="50"/>
      <c r="M176" s="50"/>
    </row>
    <row r="177" spans="1:13" x14ac:dyDescent="0.25">
      <c r="A177" s="31" t="s">
        <v>237</v>
      </c>
      <c r="B177" s="32">
        <v>45</v>
      </c>
      <c r="C177" s="235"/>
      <c r="D177" s="238"/>
      <c r="F177" s="247"/>
      <c r="G177" s="4"/>
      <c r="H177" s="4"/>
      <c r="I177" s="233"/>
      <c r="J177" s="233"/>
      <c r="K177" s="50"/>
      <c r="L177" s="50"/>
      <c r="M177" s="50"/>
    </row>
    <row r="178" spans="1:13" x14ac:dyDescent="0.25">
      <c r="A178" s="31" t="s">
        <v>215</v>
      </c>
      <c r="B178" s="32">
        <f>B175*B177</f>
        <v>180000</v>
      </c>
      <c r="C178" s="235"/>
      <c r="D178" s="238"/>
      <c r="F178" s="247"/>
      <c r="G178" s="4"/>
      <c r="H178" s="4"/>
      <c r="I178" s="233"/>
      <c r="J178" s="233"/>
      <c r="K178" s="50"/>
      <c r="L178" s="50"/>
      <c r="M178" s="50"/>
    </row>
    <row r="179" spans="1:13" ht="15" customHeight="1" thickBot="1" x14ac:dyDescent="0.3">
      <c r="A179" s="33" t="s">
        <v>216</v>
      </c>
      <c r="B179" s="96">
        <f>+B176*B178</f>
        <v>27000</v>
      </c>
      <c r="C179" s="236"/>
      <c r="D179" s="239"/>
      <c r="F179" s="247"/>
      <c r="G179" s="4"/>
      <c r="H179" s="15"/>
      <c r="I179" s="233"/>
      <c r="J179" s="233"/>
      <c r="K179" s="50"/>
      <c r="L179" s="50"/>
      <c r="M179" s="50"/>
    </row>
    <row r="180" spans="1:13" ht="14.25" customHeight="1" thickBot="1" x14ac:dyDescent="0.3">
      <c r="A180" s="143" t="s">
        <v>20</v>
      </c>
      <c r="B180" s="1"/>
      <c r="C180" s="2"/>
      <c r="D180" s="2"/>
      <c r="F180" s="247"/>
      <c r="G180" s="4"/>
      <c r="H180" s="4"/>
      <c r="I180" s="233"/>
      <c r="J180" s="233"/>
      <c r="K180" s="50"/>
      <c r="L180" s="50"/>
      <c r="M180" s="50"/>
    </row>
    <row r="181" spans="1:13" ht="14.25" customHeight="1" x14ac:dyDescent="0.25">
      <c r="A181" s="34" t="s">
        <v>8</v>
      </c>
      <c r="B181" s="35">
        <v>3</v>
      </c>
      <c r="C181" s="240">
        <v>4</v>
      </c>
      <c r="D181" s="243">
        <f>C181/12</f>
        <v>0.33333333333333331</v>
      </c>
      <c r="F181" s="247"/>
      <c r="G181" s="4"/>
      <c r="H181" s="59"/>
      <c r="I181" s="233"/>
      <c r="J181" s="233"/>
      <c r="K181" s="50"/>
      <c r="L181" s="50"/>
      <c r="M181" s="50"/>
    </row>
    <row r="182" spans="1:13" x14ac:dyDescent="0.25">
      <c r="A182" s="36" t="s">
        <v>217</v>
      </c>
      <c r="B182" s="37">
        <v>9</v>
      </c>
      <c r="C182" s="241"/>
      <c r="D182" s="244"/>
      <c r="F182" s="247"/>
      <c r="G182" s="4"/>
      <c r="H182" s="15"/>
      <c r="I182" s="233"/>
      <c r="J182" s="233"/>
      <c r="K182" s="50"/>
      <c r="L182" s="50"/>
      <c r="M182" s="50"/>
    </row>
    <row r="183" spans="1:13" x14ac:dyDescent="0.25">
      <c r="A183" s="36" t="s">
        <v>11</v>
      </c>
      <c r="B183" s="37">
        <f>B175*B181*B182</f>
        <v>108000</v>
      </c>
      <c r="C183" s="241"/>
      <c r="D183" s="244"/>
      <c r="F183" s="247"/>
      <c r="G183" s="4"/>
      <c r="H183" s="59"/>
      <c r="I183" s="233"/>
      <c r="J183" s="233"/>
      <c r="K183" s="50"/>
      <c r="L183" s="50"/>
      <c r="M183" s="50"/>
    </row>
    <row r="184" spans="1:13" x14ac:dyDescent="0.25">
      <c r="A184" s="36" t="s">
        <v>12</v>
      </c>
      <c r="B184" s="144">
        <f>'SHEET A'!C31</f>
        <v>0.12</v>
      </c>
      <c r="C184" s="241"/>
      <c r="D184" s="244"/>
      <c r="F184" s="247"/>
      <c r="G184" s="4"/>
      <c r="H184" s="4"/>
      <c r="I184" s="5"/>
      <c r="J184" s="6"/>
      <c r="K184" s="50"/>
      <c r="L184" s="50"/>
      <c r="M184" s="50"/>
    </row>
    <row r="185" spans="1:13" x14ac:dyDescent="0.25">
      <c r="A185" s="36" t="s">
        <v>152</v>
      </c>
      <c r="B185" s="37">
        <f>B183*0.05</f>
        <v>5400</v>
      </c>
      <c r="C185" s="241"/>
      <c r="D185" s="244"/>
      <c r="F185" s="247"/>
      <c r="G185" s="4"/>
      <c r="H185" s="13"/>
      <c r="I185" s="233"/>
      <c r="J185" s="233"/>
      <c r="K185" s="50"/>
      <c r="L185" s="50"/>
      <c r="M185" s="50"/>
    </row>
    <row r="186" spans="1:13" ht="14.25" customHeight="1" x14ac:dyDescent="0.25">
      <c r="A186" s="70" t="s">
        <v>13</v>
      </c>
      <c r="B186" s="145">
        <f>B185*B184</f>
        <v>648</v>
      </c>
      <c r="C186" s="241"/>
      <c r="D186" s="244"/>
      <c r="F186" s="247"/>
      <c r="G186" s="4"/>
      <c r="H186" s="15"/>
      <c r="I186" s="233"/>
      <c r="J186" s="233"/>
      <c r="K186" s="50"/>
      <c r="L186" s="50"/>
      <c r="M186" s="50"/>
    </row>
    <row r="187" spans="1:13" ht="14.25" customHeight="1" x14ac:dyDescent="0.25">
      <c r="A187" s="36" t="s">
        <v>36</v>
      </c>
      <c r="B187" s="144">
        <f>'SHEET A'!C30</f>
        <v>0.89999999999999991</v>
      </c>
      <c r="C187" s="241"/>
      <c r="D187" s="244"/>
      <c r="F187" s="247"/>
      <c r="G187" s="4"/>
      <c r="H187" s="15"/>
      <c r="I187" s="233"/>
      <c r="J187" s="233"/>
      <c r="K187" s="50"/>
      <c r="L187" s="50"/>
      <c r="M187" s="50"/>
    </row>
    <row r="188" spans="1:13" ht="14.25" customHeight="1" thickBot="1" x14ac:dyDescent="0.3">
      <c r="A188" s="38" t="s">
        <v>29</v>
      </c>
      <c r="B188" s="146">
        <f>B183*B187+(B186)</f>
        <v>97847.999999999985</v>
      </c>
      <c r="C188" s="242"/>
      <c r="D188" s="245"/>
      <c r="F188" s="247"/>
      <c r="G188" s="4"/>
      <c r="H188" s="59"/>
      <c r="I188" s="233"/>
      <c r="J188" s="233"/>
      <c r="K188" s="50"/>
      <c r="L188" s="50"/>
      <c r="M188" s="50"/>
    </row>
    <row r="189" spans="1:13" ht="15.75" thickBot="1" x14ac:dyDescent="0.3">
      <c r="A189" s="143" t="s">
        <v>21</v>
      </c>
      <c r="B189" s="1"/>
      <c r="C189" s="2"/>
      <c r="D189" s="2"/>
      <c r="F189" s="247"/>
      <c r="G189" s="4"/>
      <c r="H189" s="59"/>
      <c r="I189" s="233"/>
      <c r="J189" s="233"/>
      <c r="K189" s="50"/>
      <c r="L189" s="50"/>
      <c r="M189" s="50"/>
    </row>
    <row r="190" spans="1:13" ht="15" customHeight="1" x14ac:dyDescent="0.25">
      <c r="A190" s="34" t="s">
        <v>14</v>
      </c>
      <c r="B190" s="147">
        <f>'SHEET A'!C33</f>
        <v>0.06</v>
      </c>
      <c r="C190" s="240">
        <v>92</v>
      </c>
      <c r="D190" s="243">
        <f>C190/12</f>
        <v>7.666666666666667</v>
      </c>
      <c r="F190" s="247"/>
      <c r="G190" s="4"/>
      <c r="H190" s="59"/>
      <c r="I190" s="233"/>
      <c r="J190" s="233"/>
      <c r="K190" s="50"/>
      <c r="L190" s="50"/>
      <c r="M190" s="50"/>
    </row>
    <row r="191" spans="1:13" x14ac:dyDescent="0.25">
      <c r="A191" s="36" t="s">
        <v>31</v>
      </c>
      <c r="B191" s="148">
        <f>'SHEET A'!C35</f>
        <v>3</v>
      </c>
      <c r="C191" s="241"/>
      <c r="D191" s="244"/>
      <c r="F191" s="247"/>
      <c r="G191" s="4"/>
      <c r="H191" s="15"/>
      <c r="I191" s="233"/>
      <c r="J191" s="233"/>
      <c r="K191" s="50"/>
      <c r="L191" s="50"/>
      <c r="M191" s="50"/>
    </row>
    <row r="192" spans="1:13" x14ac:dyDescent="0.25">
      <c r="A192" s="36" t="s">
        <v>30</v>
      </c>
      <c r="B192" s="148">
        <f>'SHEET A'!C36</f>
        <v>0.06</v>
      </c>
      <c r="C192" s="241"/>
      <c r="D192" s="244"/>
      <c r="F192" s="247"/>
      <c r="G192" s="8"/>
      <c r="H192" s="59"/>
      <c r="I192" s="233"/>
      <c r="J192" s="233"/>
      <c r="K192" s="50"/>
      <c r="L192" s="50"/>
      <c r="M192" s="50"/>
    </row>
    <row r="193" spans="1:13" x14ac:dyDescent="0.25">
      <c r="A193" s="70" t="s">
        <v>32</v>
      </c>
      <c r="B193" s="149">
        <f>B183*B190</f>
        <v>6480</v>
      </c>
      <c r="C193" s="241"/>
      <c r="D193" s="244"/>
      <c r="F193" s="247"/>
      <c r="G193" s="8"/>
      <c r="H193" s="59"/>
      <c r="I193" s="233"/>
      <c r="J193" s="233"/>
      <c r="K193" s="50"/>
      <c r="L193" s="50"/>
      <c r="M193" s="50"/>
    </row>
    <row r="194" spans="1:13" x14ac:dyDescent="0.25">
      <c r="A194" s="70" t="s">
        <v>218</v>
      </c>
      <c r="B194" s="149">
        <f>(4000*9)*B191</f>
        <v>108000</v>
      </c>
      <c r="C194" s="241"/>
      <c r="D194" s="244"/>
      <c r="F194" s="247"/>
      <c r="G194" s="60"/>
      <c r="H194" s="61"/>
      <c r="I194" s="5"/>
      <c r="J194" s="62"/>
      <c r="K194" s="50"/>
      <c r="L194" s="50"/>
      <c r="M194" s="50"/>
    </row>
    <row r="195" spans="1:13" x14ac:dyDescent="0.25">
      <c r="A195" s="70" t="s">
        <v>34</v>
      </c>
      <c r="B195" s="149">
        <f>B183*B192</f>
        <v>6480</v>
      </c>
      <c r="C195" s="241"/>
      <c r="D195" s="244"/>
      <c r="F195" s="247"/>
      <c r="G195" s="60"/>
      <c r="H195" s="61"/>
      <c r="I195" s="5"/>
      <c r="J195" s="62"/>
      <c r="K195" s="50"/>
      <c r="L195" s="50"/>
      <c r="M195" s="50"/>
    </row>
    <row r="196" spans="1:13" x14ac:dyDescent="0.25">
      <c r="A196" s="36" t="s">
        <v>54</v>
      </c>
      <c r="B196" s="148">
        <v>0</v>
      </c>
      <c r="C196" s="241"/>
      <c r="D196" s="244"/>
      <c r="F196" s="247"/>
      <c r="G196" s="60"/>
      <c r="H196" s="61"/>
      <c r="I196" s="5"/>
      <c r="J196" s="62"/>
      <c r="K196" s="50"/>
      <c r="L196" s="50"/>
      <c r="M196" s="50"/>
    </row>
    <row r="197" spans="1:13" x14ac:dyDescent="0.25">
      <c r="A197" s="70" t="s">
        <v>53</v>
      </c>
      <c r="B197" s="149">
        <f>B173*B196</f>
        <v>0</v>
      </c>
      <c r="C197" s="241"/>
      <c r="D197" s="244"/>
      <c r="F197" s="247"/>
      <c r="G197" s="60"/>
      <c r="H197" s="61"/>
      <c r="I197" s="5"/>
      <c r="J197" s="62"/>
      <c r="K197" s="50"/>
      <c r="L197" s="50"/>
      <c r="M197" s="50"/>
    </row>
    <row r="198" spans="1:13" ht="15.75" thickBot="1" x14ac:dyDescent="0.3">
      <c r="A198" s="38" t="s">
        <v>219</v>
      </c>
      <c r="B198" s="150">
        <f>B193+B194+B195+B197</f>
        <v>120960</v>
      </c>
      <c r="C198" s="242"/>
      <c r="D198" s="245"/>
      <c r="F198" s="247"/>
      <c r="G198" s="50"/>
      <c r="H198" s="50"/>
      <c r="I198" s="50"/>
      <c r="J198" s="51"/>
      <c r="K198" s="50"/>
      <c r="L198" s="50"/>
      <c r="M198" s="50"/>
    </row>
    <row r="199" spans="1:13" ht="15.75" thickBot="1" x14ac:dyDescent="0.3">
      <c r="A199" s="143" t="s">
        <v>22</v>
      </c>
      <c r="B199" s="1"/>
      <c r="C199" s="2"/>
      <c r="D199" s="2"/>
      <c r="F199" s="247"/>
      <c r="G199" s="50"/>
      <c r="H199" s="50"/>
      <c r="I199" s="50"/>
      <c r="J199" s="51"/>
      <c r="K199" s="50"/>
      <c r="L199" s="50"/>
      <c r="M199" s="50"/>
    </row>
    <row r="200" spans="1:13" x14ac:dyDescent="0.25">
      <c r="A200" s="34" t="s">
        <v>23</v>
      </c>
      <c r="B200" s="147">
        <v>0</v>
      </c>
      <c r="C200" s="240">
        <v>12</v>
      </c>
      <c r="D200" s="243">
        <f>C200/12</f>
        <v>1</v>
      </c>
      <c r="F200" s="247"/>
      <c r="G200" s="50"/>
      <c r="H200" s="50"/>
      <c r="I200" s="50"/>
      <c r="J200" s="51"/>
      <c r="K200" s="50"/>
      <c r="L200" s="50"/>
      <c r="M200" s="50"/>
    </row>
    <row r="201" spans="1:13" ht="15.75" thickBot="1" x14ac:dyDescent="0.3">
      <c r="A201" s="151" t="s">
        <v>24</v>
      </c>
      <c r="B201" s="152">
        <v>0</v>
      </c>
      <c r="C201" s="242"/>
      <c r="D201" s="245"/>
      <c r="F201" s="248"/>
      <c r="G201" s="50"/>
      <c r="H201" s="50"/>
      <c r="I201" s="50"/>
      <c r="J201" s="51"/>
      <c r="K201" s="50"/>
      <c r="L201" s="50"/>
      <c r="M201" s="50"/>
    </row>
    <row r="202" spans="1:13" s="66" customFormat="1" ht="19.5" customHeight="1" x14ac:dyDescent="0.4">
      <c r="A202" s="45" t="s">
        <v>19</v>
      </c>
      <c r="B202" s="123">
        <f>B179+B188+B198</f>
        <v>245808</v>
      </c>
      <c r="C202" s="46">
        <f>SUM(C173:C201)</f>
        <v>114</v>
      </c>
      <c r="D202" s="46">
        <f>SUM(D173:D201)</f>
        <v>9.5</v>
      </c>
      <c r="F202" s="7"/>
      <c r="G202" s="67"/>
      <c r="H202" s="67"/>
      <c r="I202" s="67"/>
      <c r="J202" s="68"/>
      <c r="K202" s="67"/>
      <c r="L202" s="67"/>
      <c r="M202" s="67"/>
    </row>
    <row r="203" spans="1:13" ht="18.75" x14ac:dyDescent="0.25">
      <c r="C203" s="7"/>
      <c r="D203" s="46" t="s">
        <v>1</v>
      </c>
    </row>
    <row r="204" spans="1:13" x14ac:dyDescent="0.25">
      <c r="B204" s="99"/>
    </row>
    <row r="207" spans="1:13" ht="26.25" x14ac:dyDescent="0.25">
      <c r="A207" s="63" t="s">
        <v>55</v>
      </c>
      <c r="B207" s="98">
        <f>B168+B202+B9</f>
        <v>642558</v>
      </c>
      <c r="C207" s="64"/>
      <c r="D207" s="65"/>
    </row>
    <row r="208" spans="1:13" x14ac:dyDescent="0.25">
      <c r="B208" s="69"/>
    </row>
    <row r="209" spans="2:2" x14ac:dyDescent="0.25">
      <c r="B209" s="90"/>
    </row>
  </sheetData>
  <mergeCells count="62">
    <mergeCell ref="F11:F49"/>
    <mergeCell ref="F52:F88"/>
    <mergeCell ref="F91:F127"/>
    <mergeCell ref="F130:F166"/>
    <mergeCell ref="F3:F8"/>
    <mergeCell ref="C159:C166"/>
    <mergeCell ref="D159:D166"/>
    <mergeCell ref="C130:C134"/>
    <mergeCell ref="D130:D134"/>
    <mergeCell ref="C136:C142"/>
    <mergeCell ref="D136:D142"/>
    <mergeCell ref="C144:C147"/>
    <mergeCell ref="D144:D147"/>
    <mergeCell ref="D110:D117"/>
    <mergeCell ref="C120:C127"/>
    <mergeCell ref="D120:D127"/>
    <mergeCell ref="C149:C156"/>
    <mergeCell ref="D149:D156"/>
    <mergeCell ref="D18:D24"/>
    <mergeCell ref="C18:C24"/>
    <mergeCell ref="D31:D38"/>
    <mergeCell ref="C31:C38"/>
    <mergeCell ref="C3:C8"/>
    <mergeCell ref="D3:D8"/>
    <mergeCell ref="C11:C16"/>
    <mergeCell ref="D11:D16"/>
    <mergeCell ref="C41:C49"/>
    <mergeCell ref="D41:D49"/>
    <mergeCell ref="C26:C29"/>
    <mergeCell ref="D26:D29"/>
    <mergeCell ref="C52:C56"/>
    <mergeCell ref="D52:D56"/>
    <mergeCell ref="C58:C63"/>
    <mergeCell ref="D58:D63"/>
    <mergeCell ref="C66:C69"/>
    <mergeCell ref="D66:D69"/>
    <mergeCell ref="I174:I176"/>
    <mergeCell ref="C71:C78"/>
    <mergeCell ref="D71:D78"/>
    <mergeCell ref="C81:C88"/>
    <mergeCell ref="D81:D88"/>
    <mergeCell ref="C91:C95"/>
    <mergeCell ref="D91:D95"/>
    <mergeCell ref="C97:C103"/>
    <mergeCell ref="D97:D103"/>
    <mergeCell ref="C105:C108"/>
    <mergeCell ref="D105:D108"/>
    <mergeCell ref="C110:C117"/>
    <mergeCell ref="C200:C201"/>
    <mergeCell ref="D200:D201"/>
    <mergeCell ref="J174:J176"/>
    <mergeCell ref="C173:C179"/>
    <mergeCell ref="D173:D179"/>
    <mergeCell ref="C181:C188"/>
    <mergeCell ref="D181:D188"/>
    <mergeCell ref="I177:I183"/>
    <mergeCell ref="J177:J183"/>
    <mergeCell ref="I185:I193"/>
    <mergeCell ref="J185:J193"/>
    <mergeCell ref="C190:C198"/>
    <mergeCell ref="D190:D198"/>
    <mergeCell ref="F173:F201"/>
  </mergeCells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14"/>
  <sheetViews>
    <sheetView showGridLines="0" topLeftCell="B70" zoomScale="85" zoomScaleNormal="85" workbookViewId="0">
      <selection activeCell="P39" sqref="P39"/>
    </sheetView>
  </sheetViews>
  <sheetFormatPr defaultRowHeight="15" x14ac:dyDescent="0.25"/>
  <cols>
    <col min="1" max="1" width="52.85546875" bestFit="1" customWidth="1"/>
    <col min="2" max="2" width="10" bestFit="1" customWidth="1"/>
    <col min="3" max="3" width="5.85546875" bestFit="1" customWidth="1"/>
    <col min="5" max="5" width="80" bestFit="1" customWidth="1"/>
    <col min="6" max="6" width="13.140625" bestFit="1" customWidth="1"/>
    <col min="7" max="7" width="11.28515625" bestFit="1" customWidth="1"/>
    <col min="8" max="8" width="5.85546875" bestFit="1" customWidth="1"/>
    <col min="10" max="10" width="86" bestFit="1" customWidth="1"/>
    <col min="11" max="11" width="13.140625" bestFit="1" customWidth="1"/>
    <col min="12" max="12" width="11.7109375" bestFit="1" customWidth="1"/>
    <col min="13" max="13" width="5.85546875" bestFit="1" customWidth="1"/>
  </cols>
  <sheetData>
    <row r="1" spans="1:13" x14ac:dyDescent="0.25">
      <c r="A1" s="48" t="s">
        <v>272</v>
      </c>
    </row>
    <row r="2" spans="1:13" x14ac:dyDescent="0.25">
      <c r="A2" s="178" t="s">
        <v>276</v>
      </c>
      <c r="B2" s="179" t="s">
        <v>194</v>
      </c>
      <c r="C2" s="179" t="s">
        <v>25</v>
      </c>
      <c r="D2" s="180"/>
      <c r="E2" s="181" t="s">
        <v>277</v>
      </c>
      <c r="F2" s="182" t="s">
        <v>194</v>
      </c>
      <c r="G2" s="182" t="s">
        <v>25</v>
      </c>
      <c r="H2" s="182" t="s">
        <v>25</v>
      </c>
      <c r="I2" s="183"/>
      <c r="J2" s="181" t="s">
        <v>278</v>
      </c>
      <c r="K2" s="182" t="s">
        <v>194</v>
      </c>
      <c r="L2" s="182" t="s">
        <v>25</v>
      </c>
      <c r="M2" s="182" t="s">
        <v>25</v>
      </c>
    </row>
    <row r="3" spans="1:13" x14ac:dyDescent="0.25">
      <c r="A3" s="47"/>
      <c r="B3" s="102"/>
      <c r="C3" s="69"/>
      <c r="D3" s="69"/>
      <c r="E3" s="4"/>
      <c r="F3" s="4"/>
      <c r="G3" s="4"/>
      <c r="H3" s="75"/>
      <c r="I3" s="47"/>
      <c r="J3" s="4"/>
      <c r="K3" s="4"/>
      <c r="L3" s="164"/>
      <c r="M3" s="75"/>
    </row>
    <row r="4" spans="1:13" x14ac:dyDescent="0.25">
      <c r="A4" s="8" t="s">
        <v>62</v>
      </c>
      <c r="B4" s="103"/>
      <c r="C4" s="9"/>
      <c r="D4" s="69"/>
      <c r="E4" s="8" t="s">
        <v>239</v>
      </c>
      <c r="F4" s="4"/>
      <c r="G4" s="164"/>
      <c r="H4" s="75"/>
      <c r="I4" s="47"/>
      <c r="J4" s="8" t="s">
        <v>247</v>
      </c>
      <c r="K4" s="4"/>
      <c r="L4" s="164"/>
      <c r="M4" s="75"/>
    </row>
    <row r="5" spans="1:13" x14ac:dyDescent="0.25">
      <c r="A5" s="1" t="s">
        <v>255</v>
      </c>
      <c r="B5" s="105">
        <v>9180</v>
      </c>
      <c r="C5" s="9"/>
      <c r="D5" s="69"/>
      <c r="E5" s="4" t="s">
        <v>196</v>
      </c>
      <c r="F5" s="203">
        <v>72000</v>
      </c>
      <c r="G5" s="164">
        <v>0</v>
      </c>
      <c r="H5" s="75"/>
      <c r="I5" s="47"/>
      <c r="J5" s="4" t="s">
        <v>196</v>
      </c>
      <c r="K5" s="203">
        <v>72000</v>
      </c>
      <c r="L5" s="164">
        <v>0</v>
      </c>
      <c r="M5" s="75"/>
    </row>
    <row r="6" spans="1:13" ht="15.75" thickBot="1" x14ac:dyDescent="0.3">
      <c r="A6" s="47"/>
      <c r="B6" s="161">
        <v>9180</v>
      </c>
      <c r="C6" s="69"/>
      <c r="D6" s="69"/>
      <c r="E6" s="4" t="s">
        <v>169</v>
      </c>
      <c r="F6" s="101">
        <v>9180</v>
      </c>
      <c r="G6" s="164">
        <v>0</v>
      </c>
      <c r="H6" s="75"/>
      <c r="I6" s="47"/>
      <c r="J6" s="4" t="s">
        <v>169</v>
      </c>
      <c r="K6" s="101">
        <v>9180</v>
      </c>
      <c r="L6" s="164">
        <v>0</v>
      </c>
      <c r="M6" s="75"/>
    </row>
    <row r="7" spans="1:13" ht="16.5" thickTop="1" thickBot="1" x14ac:dyDescent="0.3">
      <c r="A7" s="8" t="s">
        <v>59</v>
      </c>
      <c r="B7" s="104"/>
      <c r="C7" s="10"/>
      <c r="D7" s="69"/>
      <c r="E7" s="4"/>
      <c r="F7" s="161">
        <v>81180</v>
      </c>
      <c r="G7" s="165">
        <v>0</v>
      </c>
      <c r="H7" s="75"/>
      <c r="I7" s="47"/>
      <c r="J7" s="4"/>
      <c r="K7" s="161">
        <v>81180</v>
      </c>
      <c r="L7" s="165">
        <v>0</v>
      </c>
      <c r="M7" s="75"/>
    </row>
    <row r="8" spans="1:13" ht="15.75" thickTop="1" x14ac:dyDescent="0.25">
      <c r="A8" s="47" t="s">
        <v>119</v>
      </c>
      <c r="B8" s="105">
        <v>360</v>
      </c>
      <c r="C8" s="74">
        <v>0.5</v>
      </c>
      <c r="D8" s="69"/>
      <c r="E8" s="8" t="s">
        <v>240</v>
      </c>
      <c r="F8" s="101"/>
      <c r="G8" s="164"/>
      <c r="H8" s="75"/>
      <c r="I8" s="47"/>
      <c r="J8" s="8" t="s">
        <v>59</v>
      </c>
      <c r="K8" s="101"/>
      <c r="L8" s="164"/>
      <c r="M8" s="75"/>
    </row>
    <row r="9" spans="1:13" x14ac:dyDescent="0.25">
      <c r="A9" s="47" t="s">
        <v>238</v>
      </c>
      <c r="B9" s="105">
        <v>4076.9999999999995</v>
      </c>
      <c r="C9" s="74">
        <v>0.33333333333333331</v>
      </c>
      <c r="D9" s="69"/>
      <c r="E9" s="47" t="s">
        <v>242</v>
      </c>
      <c r="F9" s="101">
        <v>450</v>
      </c>
      <c r="G9" s="164">
        <v>0.25</v>
      </c>
      <c r="H9" s="75"/>
      <c r="I9" s="47"/>
      <c r="J9" s="47" t="s">
        <v>242</v>
      </c>
      <c r="K9" s="101">
        <v>450</v>
      </c>
      <c r="L9" s="164">
        <v>0.2</v>
      </c>
      <c r="M9" s="75"/>
    </row>
    <row r="10" spans="1:13" x14ac:dyDescent="0.25">
      <c r="A10" s="47" t="s">
        <v>60</v>
      </c>
      <c r="B10" s="105">
        <v>14310</v>
      </c>
      <c r="C10" s="74">
        <v>7.666666666666667</v>
      </c>
      <c r="D10" s="69"/>
      <c r="E10" s="47" t="s">
        <v>129</v>
      </c>
      <c r="F10" s="203">
        <v>48000</v>
      </c>
      <c r="G10" s="164">
        <v>0.25</v>
      </c>
      <c r="H10" s="75"/>
      <c r="I10" s="47"/>
      <c r="J10" s="47" t="s">
        <v>129</v>
      </c>
      <c r="K10" s="203">
        <v>48000</v>
      </c>
      <c r="L10" s="164">
        <v>0.2</v>
      </c>
      <c r="M10" s="75"/>
    </row>
    <row r="11" spans="1:13" ht="15.75" thickBot="1" x14ac:dyDescent="0.3">
      <c r="A11" s="47"/>
      <c r="B11" s="161">
        <v>18747</v>
      </c>
      <c r="C11" s="74"/>
      <c r="D11" s="69"/>
      <c r="E11" s="47" t="s">
        <v>244</v>
      </c>
      <c r="F11" s="101">
        <v>960</v>
      </c>
      <c r="G11" s="164">
        <v>0.5</v>
      </c>
      <c r="H11" s="47"/>
      <c r="I11" s="47"/>
      <c r="J11" s="47" t="s">
        <v>248</v>
      </c>
      <c r="K11" s="101">
        <v>960</v>
      </c>
      <c r="L11" s="164">
        <v>0.3</v>
      </c>
      <c r="M11" s="47"/>
    </row>
    <row r="12" spans="1:13" ht="15.75" thickTop="1" x14ac:dyDescent="0.25">
      <c r="A12" s="8" t="s">
        <v>61</v>
      </c>
      <c r="B12" s="105"/>
      <c r="C12" s="74"/>
      <c r="D12" s="69"/>
      <c r="E12" s="4" t="s">
        <v>130</v>
      </c>
      <c r="F12" s="101">
        <v>75</v>
      </c>
      <c r="G12" s="164">
        <v>0.5</v>
      </c>
      <c r="H12" s="75"/>
      <c r="I12" s="47"/>
      <c r="J12" s="4" t="s">
        <v>249</v>
      </c>
      <c r="K12" s="101">
        <v>75</v>
      </c>
      <c r="L12" s="164">
        <v>0.3</v>
      </c>
      <c r="M12" s="75"/>
    </row>
    <row r="13" spans="1:13" x14ac:dyDescent="0.25">
      <c r="A13" s="47" t="s">
        <v>119</v>
      </c>
      <c r="B13" s="105">
        <v>360</v>
      </c>
      <c r="C13" s="74">
        <v>0.5</v>
      </c>
      <c r="D13" s="69"/>
      <c r="E13" s="4" t="s">
        <v>197</v>
      </c>
      <c r="F13" s="101">
        <v>2730</v>
      </c>
      <c r="G13" s="164">
        <v>4</v>
      </c>
      <c r="H13" s="75"/>
      <c r="I13" s="47"/>
      <c r="J13" s="47" t="s">
        <v>251</v>
      </c>
      <c r="K13" s="101">
        <v>3360</v>
      </c>
      <c r="L13" s="163">
        <v>1</v>
      </c>
      <c r="M13" s="75"/>
    </row>
    <row r="14" spans="1:13" ht="15.75" thickBot="1" x14ac:dyDescent="0.3">
      <c r="A14" s="47" t="s">
        <v>238</v>
      </c>
      <c r="B14" s="105">
        <v>4076.9999999999995</v>
      </c>
      <c r="C14" s="74">
        <v>0.33333333333333331</v>
      </c>
      <c r="D14" s="69"/>
      <c r="E14" s="76"/>
      <c r="F14" s="161">
        <v>52215</v>
      </c>
      <c r="G14" s="165">
        <v>5.5</v>
      </c>
      <c r="H14" s="75"/>
      <c r="I14" s="47"/>
      <c r="J14" s="4" t="s">
        <v>250</v>
      </c>
      <c r="K14" s="101">
        <v>5955</v>
      </c>
      <c r="L14" s="164">
        <v>2.5</v>
      </c>
      <c r="M14" s="75"/>
    </row>
    <row r="15" spans="1:13" ht="16.5" thickTop="1" thickBot="1" x14ac:dyDescent="0.3">
      <c r="A15" s="47" t="s">
        <v>60</v>
      </c>
      <c r="B15" s="105">
        <v>14310</v>
      </c>
      <c r="C15" s="74">
        <v>7.666666666666667</v>
      </c>
      <c r="D15" s="69"/>
      <c r="E15" s="8" t="s">
        <v>241</v>
      </c>
      <c r="F15" s="101"/>
      <c r="G15" s="164"/>
      <c r="H15" s="75"/>
      <c r="I15" s="47"/>
      <c r="J15" s="76"/>
      <c r="K15" s="161">
        <v>58800</v>
      </c>
      <c r="L15" s="165">
        <v>4.5</v>
      </c>
      <c r="M15" s="75"/>
    </row>
    <row r="16" spans="1:13" ht="16.5" thickTop="1" thickBot="1" x14ac:dyDescent="0.3">
      <c r="A16" s="47"/>
      <c r="B16" s="161">
        <v>18747</v>
      </c>
      <c r="C16" s="74"/>
      <c r="D16" s="69"/>
      <c r="E16" s="47" t="s">
        <v>243</v>
      </c>
      <c r="F16" s="101">
        <v>180</v>
      </c>
      <c r="G16" s="164">
        <v>0.25</v>
      </c>
      <c r="H16" s="75"/>
      <c r="I16" s="47"/>
      <c r="J16" s="8" t="s">
        <v>61</v>
      </c>
      <c r="K16" s="101"/>
      <c r="L16" s="164"/>
      <c r="M16" s="75"/>
    </row>
    <row r="17" spans="1:13" ht="16.5" thickTop="1" thickBot="1" x14ac:dyDescent="0.3">
      <c r="A17" s="72" t="s">
        <v>195</v>
      </c>
      <c r="B17" s="162">
        <f>+'SHEET B'!B60</f>
        <v>46674</v>
      </c>
      <c r="C17" s="175">
        <v>17</v>
      </c>
      <c r="D17" s="69"/>
      <c r="E17" s="47" t="s">
        <v>129</v>
      </c>
      <c r="F17" s="203">
        <v>48000</v>
      </c>
      <c r="G17" s="164">
        <v>0.25</v>
      </c>
      <c r="H17" s="75"/>
      <c r="I17" s="47"/>
      <c r="J17" s="47" t="s">
        <v>256</v>
      </c>
      <c r="K17" s="101">
        <v>180</v>
      </c>
      <c r="L17" s="164">
        <v>0.2</v>
      </c>
      <c r="M17" s="75"/>
    </row>
    <row r="18" spans="1:13" ht="15.75" thickTop="1" x14ac:dyDescent="0.25">
      <c r="A18" s="74"/>
      <c r="B18" s="74"/>
      <c r="C18" s="74"/>
      <c r="D18" s="69"/>
      <c r="E18" s="47" t="s">
        <v>244</v>
      </c>
      <c r="F18" s="101">
        <v>960</v>
      </c>
      <c r="G18" s="164">
        <v>0</v>
      </c>
      <c r="H18" s="75"/>
      <c r="I18" s="47"/>
      <c r="J18" s="47" t="s">
        <v>129</v>
      </c>
      <c r="K18" s="203">
        <v>48000</v>
      </c>
      <c r="L18" s="164">
        <v>0.2</v>
      </c>
      <c r="M18" s="75"/>
    </row>
    <row r="19" spans="1:13" x14ac:dyDescent="0.25">
      <c r="A19" s="47"/>
      <c r="B19" s="47"/>
      <c r="C19" s="69"/>
      <c r="D19" s="69"/>
      <c r="E19" s="4" t="s">
        <v>130</v>
      </c>
      <c r="F19" s="101">
        <v>75</v>
      </c>
      <c r="G19" s="164">
        <v>0.5</v>
      </c>
      <c r="H19" s="47"/>
      <c r="I19" s="47"/>
      <c r="J19" s="47" t="s">
        <v>248</v>
      </c>
      <c r="K19" s="101">
        <v>960</v>
      </c>
      <c r="L19" s="164">
        <v>0.3</v>
      </c>
      <c r="M19" s="47"/>
    </row>
    <row r="20" spans="1:13" x14ac:dyDescent="0.25">
      <c r="A20" s="47"/>
      <c r="B20" s="47"/>
      <c r="C20" s="69"/>
      <c r="D20" s="69"/>
      <c r="E20" s="4" t="s">
        <v>197</v>
      </c>
      <c r="F20" s="101">
        <v>2730</v>
      </c>
      <c r="G20" s="164">
        <v>4</v>
      </c>
      <c r="H20" s="75"/>
      <c r="I20" s="47"/>
      <c r="J20" s="4" t="s">
        <v>249</v>
      </c>
      <c r="K20" s="101">
        <v>75</v>
      </c>
      <c r="L20" s="164">
        <v>0.3</v>
      </c>
      <c r="M20" s="75"/>
    </row>
    <row r="21" spans="1:13" ht="15.75" thickBot="1" x14ac:dyDescent="0.3">
      <c r="A21" s="47"/>
      <c r="B21" s="102"/>
      <c r="C21" s="69"/>
      <c r="D21" s="69"/>
      <c r="E21" s="47"/>
      <c r="F21" s="161">
        <v>51945</v>
      </c>
      <c r="G21" s="165">
        <v>5</v>
      </c>
      <c r="H21" s="47"/>
      <c r="I21" s="47"/>
      <c r="J21" s="47" t="s">
        <v>251</v>
      </c>
      <c r="K21" s="101">
        <v>3360</v>
      </c>
      <c r="L21" s="163">
        <v>1</v>
      </c>
      <c r="M21" s="47"/>
    </row>
    <row r="22" spans="1:13" ht="15.75" thickTop="1" x14ac:dyDescent="0.25">
      <c r="A22" s="47"/>
      <c r="B22" s="47"/>
      <c r="C22" s="69"/>
      <c r="D22" s="69"/>
      <c r="E22" s="71" t="s">
        <v>26</v>
      </c>
      <c r="F22" s="101"/>
      <c r="G22" s="164"/>
      <c r="H22" s="75"/>
      <c r="I22" s="47"/>
      <c r="J22" s="4" t="s">
        <v>250</v>
      </c>
      <c r="K22" s="101">
        <v>5955</v>
      </c>
      <c r="L22" s="164">
        <v>2.5</v>
      </c>
      <c r="M22" s="47"/>
    </row>
    <row r="23" spans="1:13" ht="15.75" thickBot="1" x14ac:dyDescent="0.3">
      <c r="A23" s="47"/>
      <c r="B23" s="47"/>
      <c r="C23" s="69"/>
      <c r="D23" s="69"/>
      <c r="E23" s="73" t="s">
        <v>132</v>
      </c>
      <c r="F23" s="101">
        <v>27000</v>
      </c>
      <c r="G23" s="164"/>
      <c r="H23" s="77">
        <v>0.5</v>
      </c>
      <c r="I23" s="47"/>
      <c r="J23" s="47"/>
      <c r="K23" s="161">
        <v>58530</v>
      </c>
      <c r="L23" s="165">
        <v>4.5</v>
      </c>
      <c r="M23" s="75"/>
    </row>
    <row r="24" spans="1:13" ht="15.75" thickTop="1" x14ac:dyDescent="0.25">
      <c r="A24" s="47"/>
      <c r="B24" s="47"/>
      <c r="C24" s="69"/>
      <c r="D24" s="69"/>
      <c r="E24" s="73" t="s">
        <v>63</v>
      </c>
      <c r="F24" s="101">
        <v>97847.999999999985</v>
      </c>
      <c r="G24" s="164"/>
      <c r="H24" s="77">
        <v>0.33333333333333331</v>
      </c>
      <c r="I24" s="47"/>
      <c r="J24" s="71" t="s">
        <v>26</v>
      </c>
      <c r="K24" s="101"/>
      <c r="L24" s="164"/>
      <c r="M24" s="47"/>
    </row>
    <row r="25" spans="1:13" x14ac:dyDescent="0.25">
      <c r="A25" s="47"/>
      <c r="B25" s="47"/>
      <c r="C25" s="69"/>
      <c r="D25" s="69"/>
      <c r="E25" s="73" t="s">
        <v>64</v>
      </c>
      <c r="F25" s="101">
        <v>120960</v>
      </c>
      <c r="G25" s="164"/>
      <c r="H25" s="77">
        <v>8.6999999999999993</v>
      </c>
      <c r="I25" s="47"/>
      <c r="J25" s="73" t="s">
        <v>132</v>
      </c>
      <c r="K25" s="101">
        <v>27000</v>
      </c>
      <c r="L25" s="164"/>
      <c r="M25" s="77">
        <v>0.5</v>
      </c>
    </row>
    <row r="26" spans="1:13" ht="15.75" thickBot="1" x14ac:dyDescent="0.3">
      <c r="A26" s="47"/>
      <c r="B26" s="47"/>
      <c r="C26" s="69"/>
      <c r="D26" s="69"/>
      <c r="E26" s="73"/>
      <c r="F26" s="161">
        <v>245808</v>
      </c>
      <c r="G26" s="47"/>
      <c r="H26" s="165">
        <v>9.5333333333333332</v>
      </c>
      <c r="I26" s="47"/>
      <c r="J26" s="73" t="s">
        <v>63</v>
      </c>
      <c r="K26" s="101">
        <v>97847.999999999985</v>
      </c>
      <c r="L26" s="164"/>
      <c r="M26" s="77">
        <v>0.33333333333333331</v>
      </c>
    </row>
    <row r="27" spans="1:13" ht="15.75" thickTop="1" x14ac:dyDescent="0.25">
      <c r="A27" s="47"/>
      <c r="B27" s="47"/>
      <c r="C27" s="69"/>
      <c r="D27" s="69"/>
      <c r="E27" s="8" t="s">
        <v>65</v>
      </c>
      <c r="F27" s="101"/>
      <c r="G27" s="164"/>
      <c r="H27" s="76"/>
      <c r="I27" s="47"/>
      <c r="J27" s="73" t="s">
        <v>64</v>
      </c>
      <c r="K27" s="101">
        <v>120960</v>
      </c>
      <c r="L27" s="164"/>
      <c r="M27" s="77">
        <v>8.6999999999999993</v>
      </c>
    </row>
    <row r="28" spans="1:13" ht="15.75" thickBot="1" x14ac:dyDescent="0.3">
      <c r="A28" s="47"/>
      <c r="B28" s="47"/>
      <c r="C28" s="69"/>
      <c r="D28" s="69"/>
      <c r="E28" s="47" t="s">
        <v>243</v>
      </c>
      <c r="F28" s="101">
        <v>180</v>
      </c>
      <c r="G28" s="164">
        <v>0.25</v>
      </c>
      <c r="H28" s="75"/>
      <c r="I28" s="47"/>
      <c r="J28" s="73"/>
      <c r="K28" s="161">
        <v>245808</v>
      </c>
      <c r="L28" s="163"/>
      <c r="M28" s="165">
        <v>9.5333333333333332</v>
      </c>
    </row>
    <row r="29" spans="1:13" ht="15.75" thickTop="1" x14ac:dyDescent="0.25">
      <c r="A29" s="47"/>
      <c r="B29" s="47"/>
      <c r="C29" s="69"/>
      <c r="D29" s="69"/>
      <c r="E29" s="47" t="s">
        <v>129</v>
      </c>
      <c r="F29" s="203">
        <v>48000</v>
      </c>
      <c r="G29" s="164">
        <v>0.25</v>
      </c>
      <c r="H29" s="75"/>
      <c r="I29" s="47"/>
      <c r="J29" s="8" t="s">
        <v>65</v>
      </c>
      <c r="K29" s="101"/>
      <c r="L29" s="164"/>
      <c r="M29" s="75"/>
    </row>
    <row r="30" spans="1:13" x14ac:dyDescent="0.25">
      <c r="A30" s="47"/>
      <c r="B30" s="47"/>
      <c r="C30" s="69"/>
      <c r="D30" s="69"/>
      <c r="E30" s="47" t="s">
        <v>245</v>
      </c>
      <c r="F30" s="101">
        <v>960</v>
      </c>
      <c r="G30" s="164">
        <v>0.5</v>
      </c>
      <c r="H30" s="75"/>
      <c r="I30" s="47"/>
      <c r="J30" s="47" t="s">
        <v>256</v>
      </c>
      <c r="K30" s="101">
        <v>180</v>
      </c>
      <c r="L30" s="164">
        <v>0.2</v>
      </c>
      <c r="M30" s="75"/>
    </row>
    <row r="31" spans="1:13" x14ac:dyDescent="0.25">
      <c r="A31" s="47"/>
      <c r="B31" s="47"/>
      <c r="C31" s="69"/>
      <c r="D31" s="69"/>
      <c r="E31" s="4" t="s">
        <v>130</v>
      </c>
      <c r="F31" s="101">
        <v>75</v>
      </c>
      <c r="G31" s="164">
        <v>0.5</v>
      </c>
      <c r="H31" s="75"/>
      <c r="I31" s="47"/>
      <c r="J31" s="47" t="s">
        <v>129</v>
      </c>
      <c r="K31" s="203">
        <v>48000</v>
      </c>
      <c r="L31" s="164">
        <v>0.2</v>
      </c>
      <c r="M31" s="75"/>
    </row>
    <row r="32" spans="1:13" x14ac:dyDescent="0.25">
      <c r="A32" s="47"/>
      <c r="B32" s="47"/>
      <c r="C32" s="69"/>
      <c r="D32" s="69"/>
      <c r="E32" s="4" t="s">
        <v>197</v>
      </c>
      <c r="F32" s="101">
        <v>2730</v>
      </c>
      <c r="G32" s="164">
        <v>4</v>
      </c>
      <c r="H32" s="75"/>
      <c r="I32" s="47"/>
      <c r="J32" s="47" t="s">
        <v>253</v>
      </c>
      <c r="K32" s="101">
        <v>960</v>
      </c>
      <c r="L32" s="164">
        <v>0.3</v>
      </c>
      <c r="M32" s="75"/>
    </row>
    <row r="33" spans="1:13" ht="15.75" thickBot="1" x14ac:dyDescent="0.3">
      <c r="A33" s="47"/>
      <c r="B33" s="47"/>
      <c r="C33" s="69"/>
      <c r="D33" s="69"/>
      <c r="E33" s="8"/>
      <c r="F33" s="161">
        <v>51945</v>
      </c>
      <c r="G33" s="165">
        <v>5.5</v>
      </c>
      <c r="H33" s="75"/>
      <c r="I33" s="47"/>
      <c r="J33" s="4" t="s">
        <v>249</v>
      </c>
      <c r="K33" s="101">
        <v>75</v>
      </c>
      <c r="L33" s="164">
        <v>0.3</v>
      </c>
      <c r="M33" s="75"/>
    </row>
    <row r="34" spans="1:13" ht="15.75" thickTop="1" x14ac:dyDescent="0.25">
      <c r="A34" s="47"/>
      <c r="B34" s="47"/>
      <c r="C34" s="69"/>
      <c r="D34" s="69"/>
      <c r="E34" s="8" t="s">
        <v>66</v>
      </c>
      <c r="F34" s="101"/>
      <c r="G34" s="164"/>
      <c r="H34" s="75"/>
      <c r="I34" s="47"/>
      <c r="J34" s="47" t="s">
        <v>251</v>
      </c>
      <c r="K34" s="101">
        <v>3360</v>
      </c>
      <c r="L34" s="163">
        <v>1</v>
      </c>
      <c r="M34" s="47"/>
    </row>
    <row r="35" spans="1:13" x14ac:dyDescent="0.25">
      <c r="A35" s="47"/>
      <c r="B35" s="47"/>
      <c r="C35" s="69"/>
      <c r="D35" s="69"/>
      <c r="E35" s="47" t="s">
        <v>243</v>
      </c>
      <c r="F35" s="101">
        <v>180</v>
      </c>
      <c r="G35" s="164">
        <v>0.25</v>
      </c>
      <c r="H35" s="75"/>
      <c r="I35" s="47"/>
      <c r="J35" s="4" t="s">
        <v>250</v>
      </c>
      <c r="K35" s="101">
        <v>5955</v>
      </c>
      <c r="L35" s="164">
        <v>2.5</v>
      </c>
      <c r="M35" s="75"/>
    </row>
    <row r="36" spans="1:13" ht="15.75" thickBot="1" x14ac:dyDescent="0.3">
      <c r="A36" s="47"/>
      <c r="B36" s="47"/>
      <c r="C36" s="69"/>
      <c r="D36" s="69"/>
      <c r="E36" s="47" t="s">
        <v>246</v>
      </c>
      <c r="F36" s="203">
        <v>48000</v>
      </c>
      <c r="G36" s="164">
        <v>0.25</v>
      </c>
      <c r="H36" s="75"/>
      <c r="I36" s="47"/>
      <c r="J36" s="8"/>
      <c r="K36" s="161">
        <v>58530</v>
      </c>
      <c r="L36" s="165">
        <v>4.5</v>
      </c>
      <c r="M36" s="75"/>
    </row>
    <row r="37" spans="1:13" ht="15.75" thickTop="1" x14ac:dyDescent="0.25">
      <c r="A37" s="47"/>
      <c r="B37" s="47"/>
      <c r="C37" s="69"/>
      <c r="D37" s="69"/>
      <c r="E37" s="47" t="s">
        <v>245</v>
      </c>
      <c r="F37" s="101">
        <v>960</v>
      </c>
      <c r="G37" s="164">
        <v>0.5</v>
      </c>
      <c r="H37" s="75"/>
      <c r="I37" s="47"/>
      <c r="J37" s="8" t="s">
        <v>66</v>
      </c>
      <c r="K37" s="101"/>
      <c r="L37" s="164"/>
      <c r="M37" s="75"/>
    </row>
    <row r="38" spans="1:13" x14ac:dyDescent="0.25">
      <c r="A38" s="47"/>
      <c r="B38" s="47"/>
      <c r="C38" s="69"/>
      <c r="D38" s="69"/>
      <c r="E38" s="4" t="s">
        <v>130</v>
      </c>
      <c r="F38" s="101">
        <v>75</v>
      </c>
      <c r="G38" s="164">
        <v>0.5</v>
      </c>
      <c r="H38" s="75"/>
      <c r="I38" s="47"/>
      <c r="J38" s="47" t="s">
        <v>256</v>
      </c>
      <c r="K38" s="101">
        <v>180</v>
      </c>
      <c r="L38" s="164">
        <v>0.2</v>
      </c>
      <c r="M38" s="75"/>
    </row>
    <row r="39" spans="1:13" ht="15.75" thickBot="1" x14ac:dyDescent="0.3">
      <c r="A39" s="47"/>
      <c r="B39" s="47"/>
      <c r="C39" s="69"/>
      <c r="D39" s="69"/>
      <c r="E39" s="1"/>
      <c r="F39" s="161">
        <v>49215</v>
      </c>
      <c r="G39" s="165">
        <v>1.5</v>
      </c>
      <c r="H39" s="75"/>
      <c r="I39" s="47"/>
      <c r="J39" s="47" t="s">
        <v>246</v>
      </c>
      <c r="K39" s="203">
        <v>48000</v>
      </c>
      <c r="L39" s="164">
        <v>0.2</v>
      </c>
      <c r="M39" s="75"/>
    </row>
    <row r="40" spans="1:13" ht="16.5" thickTop="1" thickBot="1" x14ac:dyDescent="0.3">
      <c r="A40" s="47"/>
      <c r="B40" s="47"/>
      <c r="C40" s="69"/>
      <c r="D40" s="69"/>
      <c r="E40" s="72" t="s">
        <v>67</v>
      </c>
      <c r="F40" s="162">
        <f>+'SHEET C'!B166</f>
        <v>532308</v>
      </c>
      <c r="G40" s="167">
        <v>17.5</v>
      </c>
      <c r="H40" s="75"/>
      <c r="I40" s="47"/>
      <c r="J40" s="47" t="s">
        <v>253</v>
      </c>
      <c r="K40" s="101">
        <v>960</v>
      </c>
      <c r="L40" s="164">
        <v>0.3</v>
      </c>
      <c r="M40" s="75"/>
    </row>
    <row r="41" spans="1:13" ht="15.75" thickTop="1" x14ac:dyDescent="0.25">
      <c r="A41" s="47"/>
      <c r="B41" s="47"/>
      <c r="C41" s="69"/>
      <c r="D41" s="69"/>
      <c r="E41" s="69"/>
      <c r="F41" s="69"/>
      <c r="G41" s="69"/>
      <c r="H41" s="75"/>
      <c r="I41" s="47"/>
      <c r="J41" s="4" t="s">
        <v>249</v>
      </c>
      <c r="K41" s="101">
        <v>75</v>
      </c>
      <c r="L41" s="163">
        <v>0.3</v>
      </c>
      <c r="M41" s="47"/>
    </row>
    <row r="42" spans="1:13" ht="19.5" thickBot="1" x14ac:dyDescent="0.35">
      <c r="A42" s="47"/>
      <c r="B42" s="47"/>
      <c r="C42" s="69"/>
      <c r="D42" s="69"/>
      <c r="E42" s="184" t="s">
        <v>78</v>
      </c>
      <c r="F42" s="185">
        <v>11.404807815914642</v>
      </c>
      <c r="G42" s="47"/>
      <c r="H42" s="75"/>
      <c r="I42" s="47"/>
      <c r="J42" s="47" t="s">
        <v>251</v>
      </c>
      <c r="K42" s="101">
        <v>3360</v>
      </c>
      <c r="L42" s="163">
        <v>1</v>
      </c>
      <c r="M42" s="47"/>
    </row>
    <row r="43" spans="1:13" ht="16.5" thickTop="1" x14ac:dyDescent="0.25">
      <c r="A43" s="47"/>
      <c r="B43" s="47"/>
      <c r="C43" s="69"/>
      <c r="D43" s="69"/>
      <c r="E43" s="186" t="s">
        <v>69</v>
      </c>
      <c r="F43" s="187">
        <v>264000</v>
      </c>
      <c r="G43" s="102"/>
      <c r="H43" s="69"/>
      <c r="I43" s="47"/>
      <c r="J43" s="4" t="s">
        <v>250</v>
      </c>
      <c r="K43" s="101">
        <v>5955</v>
      </c>
      <c r="L43" s="164">
        <v>2.5</v>
      </c>
      <c r="M43" s="75"/>
    </row>
    <row r="44" spans="1:13" ht="15.75" x14ac:dyDescent="0.25">
      <c r="A44" s="47"/>
      <c r="B44" s="47"/>
      <c r="C44" s="69"/>
      <c r="D44" s="69"/>
      <c r="E44" s="186" t="s">
        <v>70</v>
      </c>
      <c r="F44" s="187">
        <v>268308</v>
      </c>
      <c r="G44" s="102"/>
      <c r="H44" s="69"/>
      <c r="I44" s="47"/>
      <c r="J44" s="47"/>
      <c r="K44" s="160">
        <v>58530</v>
      </c>
      <c r="L44" s="166">
        <v>4.5</v>
      </c>
      <c r="M44" s="75"/>
    </row>
    <row r="45" spans="1:13" ht="19.5" thickBot="1" x14ac:dyDescent="0.35">
      <c r="A45" s="78"/>
      <c r="B45" s="78"/>
      <c r="C45" s="79"/>
      <c r="D45" s="79"/>
      <c r="E45" s="188" t="s">
        <v>75</v>
      </c>
      <c r="F45" s="189">
        <v>0.50404652945287309</v>
      </c>
      <c r="G45" s="47"/>
      <c r="H45" s="78"/>
      <c r="I45" s="78"/>
      <c r="J45" s="72" t="s">
        <v>67</v>
      </c>
      <c r="K45" s="162">
        <f>+'SHEET D'!B207</f>
        <v>642558</v>
      </c>
      <c r="L45" s="167">
        <v>18</v>
      </c>
      <c r="M45" s="75"/>
    </row>
    <row r="46" spans="1:13" ht="16.5" thickTop="1" x14ac:dyDescent="0.25">
      <c r="A46" s="47"/>
      <c r="B46" s="47"/>
      <c r="C46" s="69"/>
      <c r="D46" s="69"/>
      <c r="E46" s="188" t="s">
        <v>76</v>
      </c>
      <c r="F46" s="189">
        <v>0.49595347054712691</v>
      </c>
      <c r="G46" s="47"/>
      <c r="H46" s="47"/>
      <c r="I46" s="47"/>
      <c r="J46" s="69"/>
      <c r="K46" s="69"/>
      <c r="L46" s="47"/>
      <c r="M46" s="75"/>
    </row>
    <row r="47" spans="1:13" ht="19.5" thickBot="1" x14ac:dyDescent="0.35">
      <c r="A47" s="47"/>
      <c r="B47" s="47"/>
      <c r="C47" s="69"/>
      <c r="D47" s="69"/>
      <c r="E47" s="47"/>
      <c r="F47" s="47"/>
      <c r="G47" s="47"/>
      <c r="H47" s="47"/>
      <c r="I47" s="47"/>
      <c r="J47" s="184" t="s">
        <v>135</v>
      </c>
      <c r="K47" s="185">
        <v>13.803188070446073</v>
      </c>
      <c r="L47" s="47"/>
      <c r="M47" s="69"/>
    </row>
    <row r="48" spans="1:13" ht="20.25" thickTop="1" thickBot="1" x14ac:dyDescent="0.35">
      <c r="A48" s="47"/>
      <c r="B48" s="47"/>
      <c r="C48" s="69"/>
      <c r="D48" s="69"/>
      <c r="E48" s="47"/>
      <c r="F48" s="47"/>
      <c r="G48" s="47"/>
      <c r="H48" s="47"/>
      <c r="I48" s="47"/>
      <c r="J48" s="184" t="s">
        <v>134</v>
      </c>
      <c r="K48" s="185">
        <v>1.210295543181767</v>
      </c>
      <c r="L48" s="47"/>
      <c r="M48" s="47"/>
    </row>
    <row r="49" spans="1:13" ht="16.5" thickTop="1" x14ac:dyDescent="0.25">
      <c r="A49" s="47"/>
      <c r="B49" s="47"/>
      <c r="C49" s="69"/>
      <c r="D49" s="69"/>
      <c r="E49" s="47"/>
      <c r="F49" s="47"/>
      <c r="G49" s="47"/>
      <c r="H49" s="47"/>
      <c r="I49" s="47"/>
      <c r="J49" s="186" t="s">
        <v>69</v>
      </c>
      <c r="K49" s="187">
        <v>264000</v>
      </c>
      <c r="L49" s="47"/>
      <c r="M49" s="69"/>
    </row>
    <row r="50" spans="1:13" ht="18.75" x14ac:dyDescent="0.3">
      <c r="A50" s="47"/>
      <c r="B50" s="47"/>
      <c r="C50" s="69"/>
      <c r="D50" s="69"/>
      <c r="E50" s="47"/>
      <c r="F50" s="47"/>
      <c r="G50" s="47"/>
      <c r="H50" s="47"/>
      <c r="I50" s="47"/>
      <c r="J50" s="186" t="s">
        <v>70</v>
      </c>
      <c r="K50" s="187">
        <f>+K45-K49</f>
        <v>378558</v>
      </c>
      <c r="L50" s="99"/>
      <c r="M50" s="78"/>
    </row>
    <row r="51" spans="1:13" ht="15.75" x14ac:dyDescent="0.25">
      <c r="A51" s="47"/>
      <c r="B51" s="47"/>
      <c r="C51" s="69"/>
      <c r="D51" s="69"/>
      <c r="E51" s="47"/>
      <c r="F51" s="47"/>
      <c r="G51" s="47"/>
      <c r="H51" s="47"/>
      <c r="I51" s="47"/>
      <c r="J51" s="188" t="s">
        <v>75</v>
      </c>
      <c r="K51" s="189">
        <v>0.59022118742724095</v>
      </c>
      <c r="L51" s="102"/>
      <c r="M51" s="47"/>
    </row>
    <row r="52" spans="1:13" ht="15.75" x14ac:dyDescent="0.25">
      <c r="A52" s="47"/>
      <c r="B52" s="47"/>
      <c r="C52" s="69"/>
      <c r="D52" s="69"/>
      <c r="E52" s="47"/>
      <c r="F52" s="47"/>
      <c r="G52" s="47"/>
      <c r="H52" s="47"/>
      <c r="I52" s="47"/>
      <c r="J52" s="188" t="s">
        <v>76</v>
      </c>
      <c r="K52" s="189">
        <v>0.40977881257275905</v>
      </c>
      <c r="L52" s="102"/>
      <c r="M52" s="47"/>
    </row>
    <row r="55" spans="1:13" x14ac:dyDescent="0.25">
      <c r="A55" s="48" t="s">
        <v>275</v>
      </c>
    </row>
    <row r="56" spans="1:13" x14ac:dyDescent="0.25">
      <c r="A56" s="178" t="s">
        <v>276</v>
      </c>
      <c r="B56" s="179" t="s">
        <v>194</v>
      </c>
      <c r="C56" s="179" t="s">
        <v>25</v>
      </c>
      <c r="D56" s="180"/>
      <c r="E56" s="181" t="s">
        <v>277</v>
      </c>
      <c r="F56" s="182" t="s">
        <v>194</v>
      </c>
      <c r="G56" s="182" t="s">
        <v>25</v>
      </c>
      <c r="H56" s="182" t="s">
        <v>25</v>
      </c>
      <c r="I56" s="183"/>
      <c r="J56" s="181" t="s">
        <v>278</v>
      </c>
      <c r="K56" s="182" t="s">
        <v>194</v>
      </c>
      <c r="L56" s="182" t="s">
        <v>25</v>
      </c>
      <c r="M56" s="182" t="s">
        <v>25</v>
      </c>
    </row>
    <row r="57" spans="1:13" x14ac:dyDescent="0.25">
      <c r="A57" s="47"/>
      <c r="B57" s="102"/>
      <c r="C57" s="69"/>
      <c r="D57" s="69"/>
      <c r="E57" s="4"/>
      <c r="F57" s="4"/>
      <c r="G57" s="4"/>
      <c r="H57" s="75"/>
      <c r="I57" s="47"/>
      <c r="J57" s="4"/>
      <c r="K57" s="4"/>
      <c r="L57" s="164"/>
      <c r="M57" s="75"/>
    </row>
    <row r="58" spans="1:13" x14ac:dyDescent="0.25">
      <c r="A58" s="8" t="s">
        <v>62</v>
      </c>
      <c r="B58" s="103"/>
      <c r="C58" s="9"/>
      <c r="D58" s="69"/>
      <c r="E58" s="8" t="s">
        <v>239</v>
      </c>
      <c r="F58" s="4"/>
      <c r="G58" s="164"/>
      <c r="H58" s="75"/>
      <c r="I58" s="47"/>
      <c r="J58" s="8" t="s">
        <v>247</v>
      </c>
      <c r="K58" s="4"/>
      <c r="L58" s="164"/>
      <c r="M58" s="75"/>
    </row>
    <row r="59" spans="1:13" x14ac:dyDescent="0.25">
      <c r="A59" s="1" t="s">
        <v>255</v>
      </c>
      <c r="B59" s="105">
        <v>9180</v>
      </c>
      <c r="C59" s="9"/>
      <c r="D59" s="69"/>
      <c r="E59" s="4" t="s">
        <v>196</v>
      </c>
      <c r="F59" s="203">
        <v>54000</v>
      </c>
      <c r="G59" s="164">
        <v>0</v>
      </c>
      <c r="H59" s="75"/>
      <c r="I59" s="47"/>
      <c r="J59" s="4" t="s">
        <v>196</v>
      </c>
      <c r="K59" s="203">
        <v>54000</v>
      </c>
      <c r="L59" s="164">
        <v>0</v>
      </c>
      <c r="M59" s="75"/>
    </row>
    <row r="60" spans="1:13" ht="15.75" thickBot="1" x14ac:dyDescent="0.3">
      <c r="A60" s="47"/>
      <c r="B60" s="161">
        <v>9180</v>
      </c>
      <c r="C60" s="69"/>
      <c r="D60" s="69"/>
      <c r="E60" s="4" t="s">
        <v>169</v>
      </c>
      <c r="F60" s="101">
        <v>9180</v>
      </c>
      <c r="G60" s="164">
        <v>0</v>
      </c>
      <c r="H60" s="75"/>
      <c r="I60" s="47"/>
      <c r="J60" s="4" t="s">
        <v>169</v>
      </c>
      <c r="K60" s="101">
        <v>9180</v>
      </c>
      <c r="L60" s="164">
        <v>0</v>
      </c>
      <c r="M60" s="75"/>
    </row>
    <row r="61" spans="1:13" ht="16.5" thickTop="1" thickBot="1" x14ac:dyDescent="0.3">
      <c r="A61" s="8" t="s">
        <v>59</v>
      </c>
      <c r="B61" s="104"/>
      <c r="C61" s="10"/>
      <c r="D61" s="69"/>
      <c r="E61" s="4"/>
      <c r="F61" s="161">
        <v>63180</v>
      </c>
      <c r="G61" s="165">
        <v>0</v>
      </c>
      <c r="H61" s="75"/>
      <c r="I61" s="47"/>
      <c r="J61" s="4"/>
      <c r="K61" s="161">
        <v>63180</v>
      </c>
      <c r="L61" s="165">
        <v>0</v>
      </c>
      <c r="M61" s="75"/>
    </row>
    <row r="62" spans="1:13" ht="15.75" thickTop="1" x14ac:dyDescent="0.25">
      <c r="A62" s="47" t="s">
        <v>119</v>
      </c>
      <c r="B62" s="105">
        <v>360</v>
      </c>
      <c r="C62" s="74">
        <v>0.5</v>
      </c>
      <c r="D62" s="69"/>
      <c r="E62" s="8" t="s">
        <v>240</v>
      </c>
      <c r="F62" s="101"/>
      <c r="G62" s="164"/>
      <c r="H62" s="75"/>
      <c r="I62" s="47"/>
      <c r="J62" s="8" t="s">
        <v>59</v>
      </c>
      <c r="K62" s="101"/>
      <c r="L62" s="164"/>
      <c r="M62" s="75"/>
    </row>
    <row r="63" spans="1:13" x14ac:dyDescent="0.25">
      <c r="A63" s="47" t="s">
        <v>238</v>
      </c>
      <c r="B63" s="105">
        <v>4076.9999999999995</v>
      </c>
      <c r="C63" s="74">
        <v>0.33333333333333331</v>
      </c>
      <c r="D63" s="69"/>
      <c r="E63" s="47" t="s">
        <v>242</v>
      </c>
      <c r="F63" s="101">
        <v>450</v>
      </c>
      <c r="G63" s="164">
        <v>0.25</v>
      </c>
      <c r="H63" s="75"/>
      <c r="I63" s="47"/>
      <c r="J63" s="47" t="s">
        <v>242</v>
      </c>
      <c r="K63" s="101">
        <v>450</v>
      </c>
      <c r="L63" s="164">
        <v>0.2</v>
      </c>
      <c r="M63" s="75"/>
    </row>
    <row r="64" spans="1:13" x14ac:dyDescent="0.25">
      <c r="A64" s="47" t="s">
        <v>60</v>
      </c>
      <c r="B64" s="105">
        <v>14310</v>
      </c>
      <c r="C64" s="74">
        <v>7.666666666666667</v>
      </c>
      <c r="D64" s="69"/>
      <c r="E64" s="47" t="s">
        <v>129</v>
      </c>
      <c r="F64" s="203">
        <v>36000</v>
      </c>
      <c r="G64" s="164">
        <v>0.25</v>
      </c>
      <c r="H64" s="75"/>
      <c r="I64" s="47"/>
      <c r="J64" s="47" t="s">
        <v>129</v>
      </c>
      <c r="K64" s="203">
        <v>36000</v>
      </c>
      <c r="L64" s="164">
        <v>0.2</v>
      </c>
      <c r="M64" s="75"/>
    </row>
    <row r="65" spans="1:13" ht="15.75" thickBot="1" x14ac:dyDescent="0.3">
      <c r="A65" s="47"/>
      <c r="B65" s="161">
        <v>18747</v>
      </c>
      <c r="C65" s="74"/>
      <c r="D65" s="69"/>
      <c r="E65" s="47" t="s">
        <v>244</v>
      </c>
      <c r="F65" s="101">
        <v>960</v>
      </c>
      <c r="G65" s="164">
        <v>0.5</v>
      </c>
      <c r="H65" s="47"/>
      <c r="I65" s="47"/>
      <c r="J65" s="47" t="s">
        <v>248</v>
      </c>
      <c r="K65" s="101">
        <v>960</v>
      </c>
      <c r="L65" s="164">
        <v>0.3</v>
      </c>
      <c r="M65" s="47"/>
    </row>
    <row r="66" spans="1:13" ht="15.75" thickTop="1" x14ac:dyDescent="0.25">
      <c r="A66" s="8" t="s">
        <v>61</v>
      </c>
      <c r="B66" s="105"/>
      <c r="C66" s="74"/>
      <c r="D66" s="69"/>
      <c r="E66" s="4" t="s">
        <v>130</v>
      </c>
      <c r="F66" s="101">
        <v>75</v>
      </c>
      <c r="G66" s="164">
        <v>0.5</v>
      </c>
      <c r="H66" s="75"/>
      <c r="I66" s="47"/>
      <c r="J66" s="4" t="s">
        <v>249</v>
      </c>
      <c r="K66" s="101">
        <v>75</v>
      </c>
      <c r="L66" s="164">
        <v>0.3</v>
      </c>
      <c r="M66" s="75"/>
    </row>
    <row r="67" spans="1:13" x14ac:dyDescent="0.25">
      <c r="A67" s="47" t="s">
        <v>119</v>
      </c>
      <c r="B67" s="105">
        <v>360</v>
      </c>
      <c r="C67" s="74">
        <v>0.5</v>
      </c>
      <c r="D67" s="69"/>
      <c r="E67" s="4" t="s">
        <v>197</v>
      </c>
      <c r="F67" s="101">
        <v>2730</v>
      </c>
      <c r="G67" s="164">
        <v>4</v>
      </c>
      <c r="H67" s="75"/>
      <c r="I67" s="47"/>
      <c r="J67" s="47" t="s">
        <v>251</v>
      </c>
      <c r="K67" s="101">
        <v>3360</v>
      </c>
      <c r="L67" s="163">
        <v>1</v>
      </c>
      <c r="M67" s="75"/>
    </row>
    <row r="68" spans="1:13" ht="15.75" thickBot="1" x14ac:dyDescent="0.3">
      <c r="A68" s="47" t="s">
        <v>238</v>
      </c>
      <c r="B68" s="105">
        <v>4076.9999999999995</v>
      </c>
      <c r="C68" s="74">
        <v>0.33333333333333331</v>
      </c>
      <c r="D68" s="69"/>
      <c r="E68" s="76"/>
      <c r="F68" s="161">
        <v>40215</v>
      </c>
      <c r="G68" s="165">
        <v>5.5</v>
      </c>
      <c r="H68" s="75"/>
      <c r="I68" s="47"/>
      <c r="J68" s="4" t="s">
        <v>250</v>
      </c>
      <c r="K68" s="101">
        <v>5955</v>
      </c>
      <c r="L68" s="164">
        <v>2.5</v>
      </c>
      <c r="M68" s="75"/>
    </row>
    <row r="69" spans="1:13" ht="16.5" thickTop="1" thickBot="1" x14ac:dyDescent="0.3">
      <c r="A69" s="47" t="s">
        <v>60</v>
      </c>
      <c r="B69" s="105">
        <v>14310</v>
      </c>
      <c r="C69" s="74">
        <v>7.666666666666667</v>
      </c>
      <c r="D69" s="69"/>
      <c r="E69" s="8" t="s">
        <v>241</v>
      </c>
      <c r="F69" s="101"/>
      <c r="G69" s="164"/>
      <c r="H69" s="75"/>
      <c r="I69" s="47"/>
      <c r="J69" s="76"/>
      <c r="K69" s="161">
        <v>46800</v>
      </c>
      <c r="L69" s="165">
        <v>4.5</v>
      </c>
      <c r="M69" s="75"/>
    </row>
    <row r="70" spans="1:13" ht="16.5" thickTop="1" thickBot="1" x14ac:dyDescent="0.3">
      <c r="A70" s="47"/>
      <c r="B70" s="161">
        <v>18747</v>
      </c>
      <c r="C70" s="74"/>
      <c r="D70" s="69"/>
      <c r="E70" s="47" t="s">
        <v>243</v>
      </c>
      <c r="F70" s="101">
        <v>180</v>
      </c>
      <c r="G70" s="164">
        <v>0.25</v>
      </c>
      <c r="H70" s="75"/>
      <c r="I70" s="47"/>
      <c r="J70" s="8" t="s">
        <v>61</v>
      </c>
      <c r="K70" s="101"/>
      <c r="L70" s="164"/>
      <c r="M70" s="75"/>
    </row>
    <row r="71" spans="1:13" ht="16.5" thickTop="1" thickBot="1" x14ac:dyDescent="0.3">
      <c r="A71" s="72" t="s">
        <v>195</v>
      </c>
      <c r="B71" s="162">
        <v>46674</v>
      </c>
      <c r="C71" s="175">
        <v>17</v>
      </c>
      <c r="D71" s="69"/>
      <c r="E71" s="47" t="s">
        <v>129</v>
      </c>
      <c r="F71" s="203">
        <v>36000</v>
      </c>
      <c r="G71" s="164">
        <v>0.25</v>
      </c>
      <c r="H71" s="75"/>
      <c r="I71" s="47"/>
      <c r="J71" s="47" t="s">
        <v>256</v>
      </c>
      <c r="K71" s="101">
        <v>180</v>
      </c>
      <c r="L71" s="164">
        <v>0.2</v>
      </c>
      <c r="M71" s="75"/>
    </row>
    <row r="72" spans="1:13" ht="15.75" thickTop="1" x14ac:dyDescent="0.25">
      <c r="A72" s="74"/>
      <c r="B72" s="74"/>
      <c r="C72" s="74"/>
      <c r="D72" s="69"/>
      <c r="E72" s="47" t="s">
        <v>244</v>
      </c>
      <c r="F72" s="101">
        <v>960</v>
      </c>
      <c r="G72" s="164">
        <v>0</v>
      </c>
      <c r="H72" s="75"/>
      <c r="I72" s="47"/>
      <c r="J72" s="47" t="s">
        <v>129</v>
      </c>
      <c r="K72" s="203">
        <v>36000</v>
      </c>
      <c r="L72" s="164">
        <v>0.2</v>
      </c>
      <c r="M72" s="75"/>
    </row>
    <row r="73" spans="1:13" x14ac:dyDescent="0.25">
      <c r="A73" s="47"/>
      <c r="B73" s="47"/>
      <c r="C73" s="69"/>
      <c r="D73" s="69"/>
      <c r="E73" s="4" t="s">
        <v>130</v>
      </c>
      <c r="F73" s="101">
        <v>75</v>
      </c>
      <c r="G73" s="164">
        <v>0.5</v>
      </c>
      <c r="H73" s="47"/>
      <c r="I73" s="47"/>
      <c r="J73" s="47" t="s">
        <v>248</v>
      </c>
      <c r="K73" s="101">
        <v>960</v>
      </c>
      <c r="L73" s="164">
        <v>0.3</v>
      </c>
      <c r="M73" s="47"/>
    </row>
    <row r="74" spans="1:13" x14ac:dyDescent="0.25">
      <c r="A74" s="47"/>
      <c r="B74" s="47"/>
      <c r="C74" s="69"/>
      <c r="D74" s="69"/>
      <c r="E74" s="4" t="s">
        <v>197</v>
      </c>
      <c r="F74" s="101">
        <v>2730</v>
      </c>
      <c r="G74" s="164">
        <v>4</v>
      </c>
      <c r="H74" s="75"/>
      <c r="I74" s="47"/>
      <c r="J74" s="4" t="s">
        <v>249</v>
      </c>
      <c r="K74" s="101">
        <v>75</v>
      </c>
      <c r="L74" s="164">
        <v>0.3</v>
      </c>
      <c r="M74" s="75"/>
    </row>
    <row r="75" spans="1:13" ht="15.75" thickBot="1" x14ac:dyDescent="0.3">
      <c r="A75" s="47"/>
      <c r="B75" s="102"/>
      <c r="C75" s="69"/>
      <c r="D75" s="69"/>
      <c r="E75" s="47"/>
      <c r="F75" s="161">
        <v>39945</v>
      </c>
      <c r="G75" s="165">
        <v>5</v>
      </c>
      <c r="H75" s="47"/>
      <c r="I75" s="47"/>
      <c r="J75" s="47" t="s">
        <v>251</v>
      </c>
      <c r="K75" s="101">
        <v>3360</v>
      </c>
      <c r="L75" s="163">
        <v>1</v>
      </c>
      <c r="M75" s="47"/>
    </row>
    <row r="76" spans="1:13" ht="15.75" thickTop="1" x14ac:dyDescent="0.25">
      <c r="A76" s="47"/>
      <c r="B76" s="47"/>
      <c r="C76" s="69"/>
      <c r="D76" s="69"/>
      <c r="E76" s="71" t="s">
        <v>26</v>
      </c>
      <c r="F76" s="101"/>
      <c r="G76" s="164"/>
      <c r="H76" s="75"/>
      <c r="I76" s="47"/>
      <c r="J76" s="4" t="s">
        <v>250</v>
      </c>
      <c r="K76" s="101">
        <v>5955</v>
      </c>
      <c r="L76" s="164">
        <v>2.5</v>
      </c>
      <c r="M76" s="47"/>
    </row>
    <row r="77" spans="1:13" ht="15.75" thickBot="1" x14ac:dyDescent="0.3">
      <c r="A77" s="47"/>
      <c r="B77" s="47"/>
      <c r="C77" s="69"/>
      <c r="D77" s="69"/>
      <c r="E77" s="73" t="s">
        <v>132</v>
      </c>
      <c r="F77" s="101">
        <v>27000</v>
      </c>
      <c r="G77" s="164"/>
      <c r="H77" s="77">
        <v>0.5</v>
      </c>
      <c r="I77" s="47"/>
      <c r="J77" s="47"/>
      <c r="K77" s="161">
        <v>46530</v>
      </c>
      <c r="L77" s="165">
        <v>4.5</v>
      </c>
      <c r="M77" s="75"/>
    </row>
    <row r="78" spans="1:13" ht="15.75" thickTop="1" x14ac:dyDescent="0.25">
      <c r="A78" s="47"/>
      <c r="B78" s="47"/>
      <c r="C78" s="69"/>
      <c r="D78" s="69"/>
      <c r="E78" s="73" t="s">
        <v>63</v>
      </c>
      <c r="F78" s="101">
        <v>97847.999999999985</v>
      </c>
      <c r="G78" s="164"/>
      <c r="H78" s="77">
        <v>0.33333333333333331</v>
      </c>
      <c r="I78" s="47"/>
      <c r="J78" s="71" t="s">
        <v>26</v>
      </c>
      <c r="K78" s="101"/>
      <c r="L78" s="164"/>
      <c r="M78" s="47"/>
    </row>
    <row r="79" spans="1:13" x14ac:dyDescent="0.25">
      <c r="A79" s="47"/>
      <c r="B79" s="47"/>
      <c r="C79" s="69"/>
      <c r="D79" s="69"/>
      <c r="E79" s="73" t="s">
        <v>64</v>
      </c>
      <c r="F79" s="101">
        <v>120960</v>
      </c>
      <c r="G79" s="164"/>
      <c r="H79" s="77">
        <v>8.6999999999999993</v>
      </c>
      <c r="I79" s="47"/>
      <c r="J79" s="73" t="s">
        <v>132</v>
      </c>
      <c r="K79" s="101">
        <v>27000</v>
      </c>
      <c r="L79" s="164"/>
      <c r="M79" s="77">
        <v>0.5</v>
      </c>
    </row>
    <row r="80" spans="1:13" ht="15.75" thickBot="1" x14ac:dyDescent="0.3">
      <c r="A80" s="47"/>
      <c r="B80" s="47"/>
      <c r="C80" s="69"/>
      <c r="D80" s="69"/>
      <c r="E80" s="73"/>
      <c r="F80" s="161">
        <v>245808</v>
      </c>
      <c r="G80" s="47"/>
      <c r="H80" s="165">
        <v>9.5333333333333332</v>
      </c>
      <c r="I80" s="47"/>
      <c r="J80" s="73" t="s">
        <v>63</v>
      </c>
      <c r="K80" s="101">
        <v>97847.999999999985</v>
      </c>
      <c r="L80" s="164"/>
      <c r="M80" s="77">
        <v>0.33333333333333331</v>
      </c>
    </row>
    <row r="81" spans="1:13" ht="15.75" thickTop="1" x14ac:dyDescent="0.25">
      <c r="A81" s="47"/>
      <c r="B81" s="47"/>
      <c r="C81" s="69"/>
      <c r="D81" s="69"/>
      <c r="E81" s="8" t="s">
        <v>65</v>
      </c>
      <c r="F81" s="101"/>
      <c r="G81" s="164"/>
      <c r="H81" s="76"/>
      <c r="I81" s="47"/>
      <c r="J81" s="73" t="s">
        <v>64</v>
      </c>
      <c r="K81" s="101">
        <v>120960</v>
      </c>
      <c r="L81" s="164"/>
      <c r="M81" s="77">
        <v>8.6999999999999993</v>
      </c>
    </row>
    <row r="82" spans="1:13" ht="15.75" thickBot="1" x14ac:dyDescent="0.3">
      <c r="A82" s="47"/>
      <c r="B82" s="47"/>
      <c r="C82" s="69"/>
      <c r="D82" s="69"/>
      <c r="E82" s="47" t="s">
        <v>243</v>
      </c>
      <c r="F82" s="101">
        <v>180</v>
      </c>
      <c r="G82" s="164">
        <v>0.25</v>
      </c>
      <c r="H82" s="75"/>
      <c r="I82" s="47"/>
      <c r="J82" s="73"/>
      <c r="K82" s="161">
        <v>245808</v>
      </c>
      <c r="L82" s="163"/>
      <c r="M82" s="165">
        <v>9.5333333333333332</v>
      </c>
    </row>
    <row r="83" spans="1:13" ht="15.75" thickTop="1" x14ac:dyDescent="0.25">
      <c r="A83" s="47"/>
      <c r="B83" s="47"/>
      <c r="C83" s="69"/>
      <c r="D83" s="69"/>
      <c r="E83" s="47" t="s">
        <v>129</v>
      </c>
      <c r="F83" s="203">
        <v>36000</v>
      </c>
      <c r="G83" s="164">
        <v>0.25</v>
      </c>
      <c r="H83" s="75"/>
      <c r="I83" s="47"/>
      <c r="J83" s="8" t="s">
        <v>65</v>
      </c>
      <c r="K83" s="101"/>
      <c r="L83" s="164"/>
      <c r="M83" s="75"/>
    </row>
    <row r="84" spans="1:13" x14ac:dyDescent="0.25">
      <c r="A84" s="47"/>
      <c r="B84" s="47"/>
      <c r="C84" s="69"/>
      <c r="D84" s="69"/>
      <c r="E84" s="47" t="s">
        <v>245</v>
      </c>
      <c r="F84" s="101">
        <v>960</v>
      </c>
      <c r="G84" s="164">
        <v>0.5</v>
      </c>
      <c r="H84" s="75"/>
      <c r="I84" s="47"/>
      <c r="J84" s="47" t="s">
        <v>256</v>
      </c>
      <c r="K84" s="101">
        <v>180</v>
      </c>
      <c r="L84" s="164">
        <v>0.2</v>
      </c>
      <c r="M84" s="75"/>
    </row>
    <row r="85" spans="1:13" x14ac:dyDescent="0.25">
      <c r="A85" s="47"/>
      <c r="B85" s="47"/>
      <c r="C85" s="69"/>
      <c r="D85" s="69"/>
      <c r="E85" s="4" t="s">
        <v>130</v>
      </c>
      <c r="F85" s="101">
        <v>75</v>
      </c>
      <c r="G85" s="164">
        <v>0.5</v>
      </c>
      <c r="H85" s="75"/>
      <c r="I85" s="47"/>
      <c r="J85" s="47" t="s">
        <v>129</v>
      </c>
      <c r="K85" s="203">
        <v>36000</v>
      </c>
      <c r="L85" s="164">
        <v>0.2</v>
      </c>
      <c r="M85" s="75"/>
    </row>
    <row r="86" spans="1:13" x14ac:dyDescent="0.25">
      <c r="A86" s="47"/>
      <c r="B86" s="47"/>
      <c r="C86" s="69"/>
      <c r="D86" s="69"/>
      <c r="E86" s="4" t="s">
        <v>197</v>
      </c>
      <c r="F86" s="101">
        <v>2730</v>
      </c>
      <c r="G86" s="164">
        <v>4</v>
      </c>
      <c r="H86" s="75"/>
      <c r="I86" s="47"/>
      <c r="J86" s="47" t="s">
        <v>253</v>
      </c>
      <c r="K86" s="101">
        <v>960</v>
      </c>
      <c r="L86" s="164">
        <v>0.3</v>
      </c>
      <c r="M86" s="75"/>
    </row>
    <row r="87" spans="1:13" ht="15.75" thickBot="1" x14ac:dyDescent="0.3">
      <c r="A87" s="47"/>
      <c r="B87" s="47"/>
      <c r="C87" s="69"/>
      <c r="D87" s="69"/>
      <c r="E87" s="8"/>
      <c r="F87" s="161">
        <v>39945</v>
      </c>
      <c r="G87" s="165">
        <v>5.5</v>
      </c>
      <c r="H87" s="75"/>
      <c r="I87" s="47"/>
      <c r="J87" s="4" t="s">
        <v>249</v>
      </c>
      <c r="K87" s="101">
        <v>75</v>
      </c>
      <c r="L87" s="164">
        <v>0.3</v>
      </c>
      <c r="M87" s="75"/>
    </row>
    <row r="88" spans="1:13" ht="15.75" thickTop="1" x14ac:dyDescent="0.25">
      <c r="A88" s="47"/>
      <c r="B88" s="47"/>
      <c r="C88" s="69"/>
      <c r="D88" s="69"/>
      <c r="E88" s="8" t="s">
        <v>66</v>
      </c>
      <c r="F88" s="101"/>
      <c r="G88" s="164"/>
      <c r="H88" s="75"/>
      <c r="I88" s="47"/>
      <c r="J88" s="47" t="s">
        <v>251</v>
      </c>
      <c r="K88" s="101">
        <v>3360</v>
      </c>
      <c r="L88" s="163">
        <v>1</v>
      </c>
      <c r="M88" s="47"/>
    </row>
    <row r="89" spans="1:13" x14ac:dyDescent="0.25">
      <c r="A89" s="47"/>
      <c r="B89" s="47"/>
      <c r="C89" s="69"/>
      <c r="D89" s="69"/>
      <c r="E89" s="47" t="s">
        <v>243</v>
      </c>
      <c r="F89" s="101">
        <v>180</v>
      </c>
      <c r="G89" s="164">
        <v>0.25</v>
      </c>
      <c r="H89" s="75"/>
      <c r="I89" s="47"/>
      <c r="J89" s="4" t="s">
        <v>250</v>
      </c>
      <c r="K89" s="101">
        <v>5955</v>
      </c>
      <c r="L89" s="164">
        <v>2.5</v>
      </c>
      <c r="M89" s="75"/>
    </row>
    <row r="90" spans="1:13" ht="15.75" thickBot="1" x14ac:dyDescent="0.3">
      <c r="A90" s="47"/>
      <c r="B90" s="47"/>
      <c r="C90" s="69"/>
      <c r="D90" s="69"/>
      <c r="E90" s="47" t="s">
        <v>246</v>
      </c>
      <c r="F90" s="203">
        <v>36000</v>
      </c>
      <c r="G90" s="164">
        <v>0.25</v>
      </c>
      <c r="H90" s="75"/>
      <c r="I90" s="47"/>
      <c r="J90" s="8"/>
      <c r="K90" s="161">
        <v>46530</v>
      </c>
      <c r="L90" s="165">
        <v>4.5</v>
      </c>
      <c r="M90" s="75"/>
    </row>
    <row r="91" spans="1:13" ht="15.75" thickTop="1" x14ac:dyDescent="0.25">
      <c r="A91" s="47"/>
      <c r="B91" s="47"/>
      <c r="C91" s="69"/>
      <c r="D91" s="69"/>
      <c r="E91" s="47" t="s">
        <v>245</v>
      </c>
      <c r="F91" s="101">
        <v>960</v>
      </c>
      <c r="G91" s="164">
        <v>0.5</v>
      </c>
      <c r="H91" s="75"/>
      <c r="I91" s="47"/>
      <c r="J91" s="8" t="s">
        <v>66</v>
      </c>
      <c r="K91" s="101"/>
      <c r="L91" s="164"/>
      <c r="M91" s="75"/>
    </row>
    <row r="92" spans="1:13" x14ac:dyDescent="0.25">
      <c r="A92" s="47"/>
      <c r="B92" s="47"/>
      <c r="C92" s="69"/>
      <c r="D92" s="69"/>
      <c r="E92" s="4" t="s">
        <v>130</v>
      </c>
      <c r="F92" s="101">
        <v>75</v>
      </c>
      <c r="G92" s="164">
        <v>0.5</v>
      </c>
      <c r="H92" s="75"/>
      <c r="I92" s="47"/>
      <c r="J92" s="47" t="s">
        <v>256</v>
      </c>
      <c r="K92" s="101">
        <v>180</v>
      </c>
      <c r="L92" s="164">
        <v>0.2</v>
      </c>
      <c r="M92" s="75"/>
    </row>
    <row r="93" spans="1:13" ht="15.75" thickBot="1" x14ac:dyDescent="0.3">
      <c r="A93" s="47"/>
      <c r="B93" s="47"/>
      <c r="C93" s="69"/>
      <c r="D93" s="69"/>
      <c r="E93" s="1"/>
      <c r="F93" s="161">
        <v>37215</v>
      </c>
      <c r="G93" s="165">
        <v>1.5</v>
      </c>
      <c r="H93" s="75"/>
      <c r="I93" s="47"/>
      <c r="J93" s="47" t="s">
        <v>246</v>
      </c>
      <c r="K93" s="203">
        <v>36000</v>
      </c>
      <c r="L93" s="164">
        <v>0.2</v>
      </c>
      <c r="M93" s="75"/>
    </row>
    <row r="94" spans="1:13" ht="16.5" thickTop="1" thickBot="1" x14ac:dyDescent="0.3">
      <c r="A94" s="47"/>
      <c r="B94" s="47"/>
      <c r="C94" s="69"/>
      <c r="D94" s="69"/>
      <c r="E94" s="72" t="s">
        <v>67</v>
      </c>
      <c r="F94" s="162">
        <v>466308</v>
      </c>
      <c r="G94" s="167">
        <v>17.5</v>
      </c>
      <c r="H94" s="75"/>
      <c r="I94" s="47"/>
      <c r="J94" s="47" t="s">
        <v>253</v>
      </c>
      <c r="K94" s="101">
        <v>960</v>
      </c>
      <c r="L94" s="164">
        <v>0.3</v>
      </c>
      <c r="M94" s="75"/>
    </row>
    <row r="95" spans="1:13" ht="15.75" thickTop="1" x14ac:dyDescent="0.25">
      <c r="A95" s="47"/>
      <c r="B95" s="47"/>
      <c r="C95" s="69"/>
      <c r="D95" s="69"/>
      <c r="E95" s="69"/>
      <c r="F95" s="69"/>
      <c r="G95" s="69"/>
      <c r="H95" s="75"/>
      <c r="I95" s="47"/>
      <c r="J95" s="4" t="s">
        <v>249</v>
      </c>
      <c r="K95" s="101">
        <v>75</v>
      </c>
      <c r="L95" s="163">
        <v>0.3</v>
      </c>
      <c r="M95" s="47"/>
    </row>
    <row r="96" spans="1:13" ht="19.5" thickBot="1" x14ac:dyDescent="0.35">
      <c r="A96" s="47"/>
      <c r="B96" s="47"/>
      <c r="C96" s="69"/>
      <c r="D96" s="69"/>
      <c r="E96" s="184" t="s">
        <v>78</v>
      </c>
      <c r="F96" s="185">
        <v>9.9907443116081751</v>
      </c>
      <c r="G96" s="47"/>
      <c r="H96" s="75"/>
      <c r="I96" s="47"/>
      <c r="J96" s="47" t="s">
        <v>251</v>
      </c>
      <c r="K96" s="101">
        <v>3360</v>
      </c>
      <c r="L96" s="163">
        <v>1</v>
      </c>
      <c r="M96" s="47"/>
    </row>
    <row r="97" spans="1:13" ht="16.5" thickTop="1" x14ac:dyDescent="0.25">
      <c r="A97" s="47"/>
      <c r="B97" s="47"/>
      <c r="C97" s="69"/>
      <c r="D97" s="69"/>
      <c r="E97" s="186" t="s">
        <v>69</v>
      </c>
      <c r="F97" s="187">
        <v>198000</v>
      </c>
      <c r="G97" s="47"/>
      <c r="H97" s="69"/>
      <c r="I97" s="47"/>
      <c r="J97" s="4" t="s">
        <v>250</v>
      </c>
      <c r="K97" s="101">
        <v>5955</v>
      </c>
      <c r="L97" s="164">
        <v>2.5</v>
      </c>
      <c r="M97" s="75"/>
    </row>
    <row r="98" spans="1:13" ht="15.75" x14ac:dyDescent="0.25">
      <c r="A98" s="47"/>
      <c r="B98" s="47"/>
      <c r="C98" s="69"/>
      <c r="D98" s="69"/>
      <c r="E98" s="186" t="s">
        <v>70</v>
      </c>
      <c r="F98" s="187">
        <v>268308</v>
      </c>
      <c r="G98" s="47"/>
      <c r="H98" s="69"/>
      <c r="I98" s="47"/>
      <c r="J98" s="47"/>
      <c r="K98" s="160">
        <v>46530</v>
      </c>
      <c r="L98" s="166">
        <v>4.5</v>
      </c>
      <c r="M98" s="75"/>
    </row>
    <row r="99" spans="1:13" ht="19.5" thickBot="1" x14ac:dyDescent="0.35">
      <c r="A99" s="78"/>
      <c r="B99" s="78"/>
      <c r="C99" s="79"/>
      <c r="D99" s="79"/>
      <c r="E99" s="188" t="s">
        <v>75</v>
      </c>
      <c r="F99" s="189">
        <v>0.57538794101752488</v>
      </c>
      <c r="G99" s="47"/>
      <c r="H99" s="78"/>
      <c r="I99" s="78"/>
      <c r="J99" s="72" t="s">
        <v>67</v>
      </c>
      <c r="K99" s="162">
        <v>578250</v>
      </c>
      <c r="L99" s="167">
        <v>18</v>
      </c>
      <c r="M99" s="75"/>
    </row>
    <row r="100" spans="1:13" ht="16.5" thickTop="1" x14ac:dyDescent="0.25">
      <c r="A100" s="47"/>
      <c r="B100" s="47"/>
      <c r="C100" s="69"/>
      <c r="D100" s="69"/>
      <c r="E100" s="188" t="s">
        <v>76</v>
      </c>
      <c r="F100" s="189">
        <v>0.42461205898247512</v>
      </c>
      <c r="G100" s="47"/>
      <c r="H100" s="47"/>
      <c r="I100" s="47"/>
      <c r="J100" s="69"/>
      <c r="K100" s="69"/>
      <c r="L100" s="47"/>
      <c r="M100" s="75"/>
    </row>
    <row r="101" spans="1:13" ht="19.5" thickBot="1" x14ac:dyDescent="0.35">
      <c r="A101" s="47"/>
      <c r="B101" s="47"/>
      <c r="C101" s="69"/>
      <c r="D101" s="69"/>
      <c r="E101" s="47"/>
      <c r="F101" s="47"/>
      <c r="G101" s="47"/>
      <c r="H101" s="47"/>
      <c r="I101" s="47"/>
      <c r="J101" s="184" t="s">
        <v>135</v>
      </c>
      <c r="K101" s="185">
        <v>12.389124566139607</v>
      </c>
      <c r="L101" s="47"/>
      <c r="M101" s="69"/>
    </row>
    <row r="102" spans="1:13" ht="20.25" thickTop="1" thickBot="1" x14ac:dyDescent="0.35">
      <c r="A102" s="47"/>
      <c r="B102" s="47"/>
      <c r="C102" s="69"/>
      <c r="D102" s="69"/>
      <c r="E102" s="47"/>
      <c r="F102" s="47"/>
      <c r="G102" s="47"/>
      <c r="H102" s="47"/>
      <c r="I102" s="47"/>
      <c r="J102" s="184" t="s">
        <v>134</v>
      </c>
      <c r="K102" s="185">
        <v>1.2400602177101829</v>
      </c>
      <c r="L102" s="47"/>
      <c r="M102" s="47"/>
    </row>
    <row r="103" spans="1:13" ht="16.5" thickTop="1" x14ac:dyDescent="0.25">
      <c r="A103" s="47"/>
      <c r="B103" s="47"/>
      <c r="C103" s="69"/>
      <c r="D103" s="69"/>
      <c r="E103" s="47"/>
      <c r="F103" s="47"/>
      <c r="G103" s="47"/>
      <c r="H103" s="47"/>
      <c r="I103" s="47"/>
      <c r="J103" s="186" t="s">
        <v>69</v>
      </c>
      <c r="K103" s="187">
        <v>198000</v>
      </c>
      <c r="L103" s="47"/>
      <c r="M103" s="69"/>
    </row>
    <row r="104" spans="1:13" ht="18.75" x14ac:dyDescent="0.3">
      <c r="A104" s="47"/>
      <c r="B104" s="47"/>
      <c r="C104" s="69"/>
      <c r="D104" s="69"/>
      <c r="E104" s="47"/>
      <c r="F104" s="47"/>
      <c r="G104" s="47"/>
      <c r="H104" s="47"/>
      <c r="I104" s="47"/>
      <c r="J104" s="186" t="s">
        <v>70</v>
      </c>
      <c r="K104" s="187">
        <v>380250</v>
      </c>
      <c r="L104" s="47"/>
      <c r="M104" s="78"/>
    </row>
    <row r="105" spans="1:13" ht="15.75" x14ac:dyDescent="0.25">
      <c r="A105" s="47"/>
      <c r="B105" s="47"/>
      <c r="C105" s="69"/>
      <c r="D105" s="69"/>
      <c r="E105" s="47"/>
      <c r="F105" s="47"/>
      <c r="G105" s="47"/>
      <c r="H105" s="47"/>
      <c r="I105" s="47"/>
      <c r="J105" s="188" t="s">
        <v>75</v>
      </c>
      <c r="K105" s="189">
        <v>0.65758754863813229</v>
      </c>
      <c r="L105" s="47"/>
      <c r="M105" s="47"/>
    </row>
    <row r="106" spans="1:13" ht="15.75" x14ac:dyDescent="0.25">
      <c r="A106" s="47"/>
      <c r="B106" s="47"/>
      <c r="C106" s="69"/>
      <c r="D106" s="69"/>
      <c r="E106" s="47"/>
      <c r="F106" s="47"/>
      <c r="G106" s="47"/>
      <c r="H106" s="47"/>
      <c r="I106" s="47"/>
      <c r="J106" s="188" t="s">
        <v>76</v>
      </c>
      <c r="K106" s="189">
        <v>0.34241245136186771</v>
      </c>
      <c r="L106" s="47"/>
      <c r="M106" s="47"/>
    </row>
    <row r="110" spans="1:13" x14ac:dyDescent="0.25">
      <c r="A110" s="48" t="s">
        <v>274</v>
      </c>
    </row>
    <row r="111" spans="1:13" x14ac:dyDescent="0.25">
      <c r="A111" s="178" t="s">
        <v>276</v>
      </c>
      <c r="B111" s="179" t="s">
        <v>194</v>
      </c>
      <c r="C111" s="179" t="s">
        <v>25</v>
      </c>
      <c r="D111" s="180"/>
      <c r="E111" s="181" t="s">
        <v>277</v>
      </c>
      <c r="F111" s="182" t="s">
        <v>194</v>
      </c>
      <c r="G111" s="182" t="s">
        <v>25</v>
      </c>
      <c r="H111" s="182" t="s">
        <v>25</v>
      </c>
      <c r="I111" s="183"/>
      <c r="J111" s="181" t="s">
        <v>278</v>
      </c>
      <c r="K111" s="182" t="s">
        <v>194</v>
      </c>
      <c r="L111" s="182" t="s">
        <v>25</v>
      </c>
      <c r="M111" s="182" t="s">
        <v>25</v>
      </c>
    </row>
    <row r="112" spans="1:13" x14ac:dyDescent="0.25">
      <c r="A112" s="47"/>
      <c r="B112" s="102"/>
      <c r="C112" s="69"/>
      <c r="D112" s="69"/>
      <c r="E112" s="4"/>
      <c r="F112" s="4"/>
      <c r="G112" s="4"/>
      <c r="H112" s="75"/>
      <c r="I112" s="47"/>
      <c r="J112" s="4"/>
      <c r="K112" s="4"/>
      <c r="L112" s="164"/>
      <c r="M112" s="75"/>
    </row>
    <row r="113" spans="1:13" x14ac:dyDescent="0.25">
      <c r="A113" s="8" t="s">
        <v>62</v>
      </c>
      <c r="B113" s="103"/>
      <c r="C113" s="9"/>
      <c r="D113" s="69"/>
      <c r="E113" s="8" t="s">
        <v>239</v>
      </c>
      <c r="F113" s="4"/>
      <c r="G113" s="164"/>
      <c r="H113" s="75"/>
      <c r="I113" s="47"/>
      <c r="J113" s="8" t="s">
        <v>247</v>
      </c>
      <c r="K113" s="4"/>
      <c r="L113" s="164"/>
      <c r="M113" s="75"/>
    </row>
    <row r="114" spans="1:13" x14ac:dyDescent="0.25">
      <c r="A114" s="1" t="s">
        <v>255</v>
      </c>
      <c r="B114" s="105">
        <v>9180</v>
      </c>
      <c r="C114" s="9"/>
      <c r="D114" s="69"/>
      <c r="E114" s="4" t="s">
        <v>196</v>
      </c>
      <c r="F114" s="203">
        <v>36000</v>
      </c>
      <c r="G114" s="164">
        <v>0</v>
      </c>
      <c r="H114" s="75"/>
      <c r="I114" s="47"/>
      <c r="J114" s="4" t="s">
        <v>196</v>
      </c>
      <c r="K114" s="203">
        <v>36000</v>
      </c>
      <c r="L114" s="164">
        <v>0</v>
      </c>
      <c r="M114" s="75"/>
    </row>
    <row r="115" spans="1:13" ht="15.75" thickBot="1" x14ac:dyDescent="0.3">
      <c r="A115" s="47"/>
      <c r="B115" s="161">
        <v>9180</v>
      </c>
      <c r="C115" s="69"/>
      <c r="D115" s="69"/>
      <c r="E115" s="4" t="s">
        <v>169</v>
      </c>
      <c r="F115" s="101">
        <v>9180</v>
      </c>
      <c r="G115" s="164">
        <v>0</v>
      </c>
      <c r="H115" s="75"/>
      <c r="I115" s="47"/>
      <c r="J115" s="4" t="s">
        <v>169</v>
      </c>
      <c r="K115" s="101">
        <v>9180</v>
      </c>
      <c r="L115" s="164">
        <v>0</v>
      </c>
      <c r="M115" s="75"/>
    </row>
    <row r="116" spans="1:13" ht="16.5" thickTop="1" thickBot="1" x14ac:dyDescent="0.3">
      <c r="A116" s="8" t="s">
        <v>59</v>
      </c>
      <c r="B116" s="104"/>
      <c r="C116" s="10"/>
      <c r="D116" s="69"/>
      <c r="E116" s="4"/>
      <c r="F116" s="161">
        <v>45180</v>
      </c>
      <c r="G116" s="165">
        <v>0</v>
      </c>
      <c r="H116" s="75"/>
      <c r="I116" s="47"/>
      <c r="J116" s="4"/>
      <c r="K116" s="161">
        <v>45180</v>
      </c>
      <c r="L116" s="165">
        <v>0</v>
      </c>
      <c r="M116" s="75"/>
    </row>
    <row r="117" spans="1:13" ht="15.75" thickTop="1" x14ac:dyDescent="0.25">
      <c r="A117" s="47" t="s">
        <v>119</v>
      </c>
      <c r="B117" s="105">
        <v>360</v>
      </c>
      <c r="C117" s="74">
        <v>0.5</v>
      </c>
      <c r="D117" s="69"/>
      <c r="E117" s="8" t="s">
        <v>240</v>
      </c>
      <c r="F117" s="101"/>
      <c r="G117" s="164"/>
      <c r="H117" s="75"/>
      <c r="I117" s="47"/>
      <c r="J117" s="8" t="s">
        <v>59</v>
      </c>
      <c r="K117" s="101"/>
      <c r="L117" s="164"/>
      <c r="M117" s="75"/>
    </row>
    <row r="118" spans="1:13" x14ac:dyDescent="0.25">
      <c r="A118" s="47" t="s">
        <v>238</v>
      </c>
      <c r="B118" s="105">
        <v>4076.9999999999995</v>
      </c>
      <c r="C118" s="74">
        <v>0.33333333333333331</v>
      </c>
      <c r="D118" s="69"/>
      <c r="E118" s="47" t="s">
        <v>242</v>
      </c>
      <c r="F118" s="101">
        <v>450</v>
      </c>
      <c r="G118" s="164">
        <v>0.25</v>
      </c>
      <c r="H118" s="75"/>
      <c r="I118" s="47"/>
      <c r="J118" s="47" t="s">
        <v>242</v>
      </c>
      <c r="K118" s="101">
        <v>450</v>
      </c>
      <c r="L118" s="164">
        <v>0.2</v>
      </c>
      <c r="M118" s="75"/>
    </row>
    <row r="119" spans="1:13" x14ac:dyDescent="0.25">
      <c r="A119" s="47" t="s">
        <v>60</v>
      </c>
      <c r="B119" s="105">
        <v>14310</v>
      </c>
      <c r="C119" s="74">
        <v>7.666666666666667</v>
      </c>
      <c r="D119" s="69"/>
      <c r="E119" s="47" t="s">
        <v>129</v>
      </c>
      <c r="F119" s="203">
        <v>24000</v>
      </c>
      <c r="G119" s="164">
        <v>0.25</v>
      </c>
      <c r="H119" s="75"/>
      <c r="I119" s="47"/>
      <c r="J119" s="47" t="s">
        <v>129</v>
      </c>
      <c r="K119" s="203">
        <v>24000</v>
      </c>
      <c r="L119" s="164">
        <v>0.2</v>
      </c>
      <c r="M119" s="75"/>
    </row>
    <row r="120" spans="1:13" ht="15.75" thickBot="1" x14ac:dyDescent="0.3">
      <c r="A120" s="47"/>
      <c r="B120" s="161">
        <v>18747</v>
      </c>
      <c r="C120" s="74"/>
      <c r="D120" s="69"/>
      <c r="E120" s="47" t="s">
        <v>244</v>
      </c>
      <c r="F120" s="101">
        <v>960</v>
      </c>
      <c r="G120" s="164">
        <v>0.5</v>
      </c>
      <c r="H120" s="47"/>
      <c r="I120" s="47"/>
      <c r="J120" s="47" t="s">
        <v>248</v>
      </c>
      <c r="K120" s="101">
        <v>960</v>
      </c>
      <c r="L120" s="164">
        <v>0.3</v>
      </c>
      <c r="M120" s="47"/>
    </row>
    <row r="121" spans="1:13" ht="15.75" thickTop="1" x14ac:dyDescent="0.25">
      <c r="A121" s="8" t="s">
        <v>61</v>
      </c>
      <c r="B121" s="105"/>
      <c r="C121" s="74"/>
      <c r="D121" s="69"/>
      <c r="E121" s="4" t="s">
        <v>130</v>
      </c>
      <c r="F121" s="101">
        <v>75</v>
      </c>
      <c r="G121" s="164">
        <v>0.5</v>
      </c>
      <c r="H121" s="75"/>
      <c r="I121" s="47"/>
      <c r="J121" s="4" t="s">
        <v>249</v>
      </c>
      <c r="K121" s="101">
        <v>75</v>
      </c>
      <c r="L121" s="164">
        <v>0.3</v>
      </c>
      <c r="M121" s="75"/>
    </row>
    <row r="122" spans="1:13" x14ac:dyDescent="0.25">
      <c r="A122" s="47" t="s">
        <v>119</v>
      </c>
      <c r="B122" s="105">
        <v>360</v>
      </c>
      <c r="C122" s="74">
        <v>0.5</v>
      </c>
      <c r="D122" s="69"/>
      <c r="E122" s="4" t="s">
        <v>197</v>
      </c>
      <c r="F122" s="101">
        <v>2730</v>
      </c>
      <c r="G122" s="164">
        <v>4</v>
      </c>
      <c r="H122" s="75"/>
      <c r="I122" s="47"/>
      <c r="J122" s="47" t="s">
        <v>251</v>
      </c>
      <c r="K122" s="101">
        <v>3360</v>
      </c>
      <c r="L122" s="163">
        <v>1</v>
      </c>
      <c r="M122" s="75"/>
    </row>
    <row r="123" spans="1:13" ht="15.75" thickBot="1" x14ac:dyDescent="0.3">
      <c r="A123" s="47" t="s">
        <v>238</v>
      </c>
      <c r="B123" s="105">
        <v>4076.9999999999995</v>
      </c>
      <c r="C123" s="74">
        <v>0.33333333333333331</v>
      </c>
      <c r="D123" s="69"/>
      <c r="E123" s="76"/>
      <c r="F123" s="161">
        <v>28215</v>
      </c>
      <c r="G123" s="165">
        <v>5.5</v>
      </c>
      <c r="H123" s="75"/>
      <c r="I123" s="47"/>
      <c r="J123" s="4" t="s">
        <v>250</v>
      </c>
      <c r="K123" s="101">
        <v>5955</v>
      </c>
      <c r="L123" s="164">
        <v>2.5</v>
      </c>
      <c r="M123" s="75"/>
    </row>
    <row r="124" spans="1:13" ht="16.5" thickTop="1" thickBot="1" x14ac:dyDescent="0.3">
      <c r="A124" s="47" t="s">
        <v>60</v>
      </c>
      <c r="B124" s="105">
        <v>14310</v>
      </c>
      <c r="C124" s="74">
        <v>7.666666666666667</v>
      </c>
      <c r="D124" s="69"/>
      <c r="E124" s="8" t="s">
        <v>241</v>
      </c>
      <c r="F124" s="101"/>
      <c r="G124" s="164"/>
      <c r="H124" s="75"/>
      <c r="I124" s="47"/>
      <c r="J124" s="76"/>
      <c r="K124" s="161">
        <v>34800</v>
      </c>
      <c r="L124" s="165">
        <v>4.5</v>
      </c>
      <c r="M124" s="75"/>
    </row>
    <row r="125" spans="1:13" ht="16.5" thickTop="1" thickBot="1" x14ac:dyDescent="0.3">
      <c r="A125" s="47"/>
      <c r="B125" s="161">
        <v>18747</v>
      </c>
      <c r="C125" s="74"/>
      <c r="D125" s="69"/>
      <c r="E125" s="47" t="s">
        <v>243</v>
      </c>
      <c r="F125" s="101">
        <v>180</v>
      </c>
      <c r="G125" s="164">
        <v>0.25</v>
      </c>
      <c r="H125" s="75"/>
      <c r="I125" s="47"/>
      <c r="J125" s="8" t="s">
        <v>61</v>
      </c>
      <c r="K125" s="101"/>
      <c r="L125" s="164"/>
      <c r="M125" s="75"/>
    </row>
    <row r="126" spans="1:13" ht="16.5" thickTop="1" thickBot="1" x14ac:dyDescent="0.3">
      <c r="A126" s="72" t="s">
        <v>195</v>
      </c>
      <c r="B126" s="162">
        <v>46674</v>
      </c>
      <c r="C126" s="175">
        <v>17</v>
      </c>
      <c r="D126" s="69"/>
      <c r="E126" s="47" t="s">
        <v>129</v>
      </c>
      <c r="F126" s="203">
        <v>24000</v>
      </c>
      <c r="G126" s="164">
        <v>0.25</v>
      </c>
      <c r="H126" s="75"/>
      <c r="I126" s="47"/>
      <c r="J126" s="47" t="s">
        <v>256</v>
      </c>
      <c r="K126" s="101">
        <v>180</v>
      </c>
      <c r="L126" s="164">
        <v>0.2</v>
      </c>
      <c r="M126" s="75"/>
    </row>
    <row r="127" spans="1:13" ht="15.75" thickTop="1" x14ac:dyDescent="0.25">
      <c r="A127" s="74"/>
      <c r="B127" s="74"/>
      <c r="C127" s="74"/>
      <c r="D127" s="69"/>
      <c r="E127" s="47" t="s">
        <v>244</v>
      </c>
      <c r="F127" s="101">
        <v>960</v>
      </c>
      <c r="G127" s="164">
        <v>0</v>
      </c>
      <c r="H127" s="75"/>
      <c r="I127" s="47"/>
      <c r="J127" s="47" t="s">
        <v>129</v>
      </c>
      <c r="K127" s="203">
        <v>24000</v>
      </c>
      <c r="L127" s="164">
        <v>0.2</v>
      </c>
      <c r="M127" s="75"/>
    </row>
    <row r="128" spans="1:13" x14ac:dyDescent="0.25">
      <c r="A128" s="47"/>
      <c r="B128" s="47"/>
      <c r="C128" s="69"/>
      <c r="D128" s="69"/>
      <c r="E128" s="4" t="s">
        <v>130</v>
      </c>
      <c r="F128" s="101">
        <v>75</v>
      </c>
      <c r="G128" s="164">
        <v>0.5</v>
      </c>
      <c r="H128" s="47"/>
      <c r="I128" s="47"/>
      <c r="J128" s="47" t="s">
        <v>248</v>
      </c>
      <c r="K128" s="101">
        <v>960</v>
      </c>
      <c r="L128" s="164">
        <v>0.3</v>
      </c>
      <c r="M128" s="47"/>
    </row>
    <row r="129" spans="1:13" x14ac:dyDescent="0.25">
      <c r="A129" s="47"/>
      <c r="B129" s="47"/>
      <c r="C129" s="69"/>
      <c r="D129" s="69"/>
      <c r="E129" s="4" t="s">
        <v>197</v>
      </c>
      <c r="F129" s="101">
        <v>2730</v>
      </c>
      <c r="G129" s="164">
        <v>4</v>
      </c>
      <c r="H129" s="75"/>
      <c r="I129" s="47"/>
      <c r="J129" s="4" t="s">
        <v>249</v>
      </c>
      <c r="K129" s="101">
        <v>75</v>
      </c>
      <c r="L129" s="164">
        <v>0.3</v>
      </c>
      <c r="M129" s="75"/>
    </row>
    <row r="130" spans="1:13" ht="15.75" thickBot="1" x14ac:dyDescent="0.3">
      <c r="A130" s="47"/>
      <c r="B130" s="102"/>
      <c r="C130" s="69"/>
      <c r="D130" s="69"/>
      <c r="E130" s="47"/>
      <c r="F130" s="161">
        <v>27945</v>
      </c>
      <c r="G130" s="165">
        <v>5</v>
      </c>
      <c r="H130" s="47"/>
      <c r="I130" s="47"/>
      <c r="J130" s="47" t="s">
        <v>251</v>
      </c>
      <c r="K130" s="101">
        <v>3360</v>
      </c>
      <c r="L130" s="163">
        <v>1</v>
      </c>
      <c r="M130" s="47"/>
    </row>
    <row r="131" spans="1:13" ht="15.75" thickTop="1" x14ac:dyDescent="0.25">
      <c r="A131" s="47"/>
      <c r="B131" s="47"/>
      <c r="C131" s="69"/>
      <c r="D131" s="69"/>
      <c r="E131" s="71" t="s">
        <v>26</v>
      </c>
      <c r="F131" s="101"/>
      <c r="G131" s="164"/>
      <c r="H131" s="75"/>
      <c r="I131" s="47"/>
      <c r="J131" s="4" t="s">
        <v>250</v>
      </c>
      <c r="K131" s="101">
        <v>5955</v>
      </c>
      <c r="L131" s="164">
        <v>2.5</v>
      </c>
      <c r="M131" s="47"/>
    </row>
    <row r="132" spans="1:13" ht="15.75" thickBot="1" x14ac:dyDescent="0.3">
      <c r="A132" s="47"/>
      <c r="B132" s="47"/>
      <c r="C132" s="69"/>
      <c r="D132" s="69"/>
      <c r="E132" s="73" t="s">
        <v>132</v>
      </c>
      <c r="F132" s="101">
        <v>27000</v>
      </c>
      <c r="G132" s="164"/>
      <c r="H132" s="77">
        <v>0.5</v>
      </c>
      <c r="I132" s="47"/>
      <c r="J132" s="47"/>
      <c r="K132" s="161">
        <v>34530</v>
      </c>
      <c r="L132" s="165">
        <v>4.5</v>
      </c>
      <c r="M132" s="75"/>
    </row>
    <row r="133" spans="1:13" ht="15.75" thickTop="1" x14ac:dyDescent="0.25">
      <c r="A133" s="47"/>
      <c r="B133" s="47"/>
      <c r="C133" s="69"/>
      <c r="D133" s="69"/>
      <c r="E133" s="73" t="s">
        <v>63</v>
      </c>
      <c r="F133" s="101">
        <v>97847.999999999985</v>
      </c>
      <c r="G133" s="164"/>
      <c r="H133" s="77">
        <v>0.33333333333333331</v>
      </c>
      <c r="I133" s="47"/>
      <c r="J133" s="71" t="s">
        <v>26</v>
      </c>
      <c r="K133" s="101"/>
      <c r="L133" s="164"/>
      <c r="M133" s="47"/>
    </row>
    <row r="134" spans="1:13" x14ac:dyDescent="0.25">
      <c r="A134" s="47"/>
      <c r="B134" s="47"/>
      <c r="C134" s="69"/>
      <c r="D134" s="69"/>
      <c r="E134" s="73" t="s">
        <v>64</v>
      </c>
      <c r="F134" s="101">
        <v>120960</v>
      </c>
      <c r="G134" s="164"/>
      <c r="H134" s="77">
        <v>8.6999999999999993</v>
      </c>
      <c r="I134" s="47"/>
      <c r="J134" s="73" t="s">
        <v>132</v>
      </c>
      <c r="K134" s="101">
        <v>27000</v>
      </c>
      <c r="L134" s="164"/>
      <c r="M134" s="77">
        <v>0.5</v>
      </c>
    </row>
    <row r="135" spans="1:13" ht="15.75" thickBot="1" x14ac:dyDescent="0.3">
      <c r="A135" s="47"/>
      <c r="B135" s="47"/>
      <c r="C135" s="69"/>
      <c r="D135" s="69"/>
      <c r="E135" s="73"/>
      <c r="F135" s="161">
        <v>245808</v>
      </c>
      <c r="G135" s="47"/>
      <c r="H135" s="165">
        <v>9.5333333333333332</v>
      </c>
      <c r="I135" s="47"/>
      <c r="J135" s="73" t="s">
        <v>63</v>
      </c>
      <c r="K135" s="101">
        <v>97847.999999999985</v>
      </c>
      <c r="L135" s="164"/>
      <c r="M135" s="77">
        <v>0.33333333333333331</v>
      </c>
    </row>
    <row r="136" spans="1:13" ht="15.75" thickTop="1" x14ac:dyDescent="0.25">
      <c r="A136" s="47"/>
      <c r="B136" s="47"/>
      <c r="C136" s="69"/>
      <c r="D136" s="69"/>
      <c r="E136" s="8" t="s">
        <v>65</v>
      </c>
      <c r="F136" s="101"/>
      <c r="G136" s="164"/>
      <c r="H136" s="76"/>
      <c r="I136" s="47"/>
      <c r="J136" s="73" t="s">
        <v>64</v>
      </c>
      <c r="K136" s="101">
        <v>120960</v>
      </c>
      <c r="L136" s="164"/>
      <c r="M136" s="77">
        <v>8.6999999999999993</v>
      </c>
    </row>
    <row r="137" spans="1:13" ht="15.75" thickBot="1" x14ac:dyDescent="0.3">
      <c r="A137" s="47"/>
      <c r="B137" s="47"/>
      <c r="C137" s="69"/>
      <c r="D137" s="69"/>
      <c r="E137" s="47" t="s">
        <v>243</v>
      </c>
      <c r="F137" s="101">
        <v>180</v>
      </c>
      <c r="G137" s="164">
        <v>0.25</v>
      </c>
      <c r="H137" s="75"/>
      <c r="I137" s="47"/>
      <c r="J137" s="73"/>
      <c r="K137" s="161">
        <v>245808</v>
      </c>
      <c r="L137" s="163"/>
      <c r="M137" s="165">
        <v>9.5333333333333332</v>
      </c>
    </row>
    <row r="138" spans="1:13" ht="15.75" thickTop="1" x14ac:dyDescent="0.25">
      <c r="A138" s="47"/>
      <c r="B138" s="47"/>
      <c r="C138" s="69"/>
      <c r="D138" s="69"/>
      <c r="E138" s="47" t="s">
        <v>129</v>
      </c>
      <c r="F138" s="203">
        <v>24000</v>
      </c>
      <c r="G138" s="164">
        <v>0.25</v>
      </c>
      <c r="H138" s="75"/>
      <c r="I138" s="47"/>
      <c r="J138" s="8" t="s">
        <v>65</v>
      </c>
      <c r="K138" s="101"/>
      <c r="L138" s="164"/>
      <c r="M138" s="75"/>
    </row>
    <row r="139" spans="1:13" x14ac:dyDescent="0.25">
      <c r="A139" s="47"/>
      <c r="B139" s="47"/>
      <c r="C139" s="69"/>
      <c r="D139" s="69"/>
      <c r="E139" s="47" t="s">
        <v>245</v>
      </c>
      <c r="F139" s="101">
        <v>960</v>
      </c>
      <c r="G139" s="164">
        <v>0.5</v>
      </c>
      <c r="H139" s="75"/>
      <c r="I139" s="47"/>
      <c r="J139" s="47" t="s">
        <v>256</v>
      </c>
      <c r="K139" s="101">
        <v>180</v>
      </c>
      <c r="L139" s="164">
        <v>0.2</v>
      </c>
      <c r="M139" s="75"/>
    </row>
    <row r="140" spans="1:13" x14ac:dyDescent="0.25">
      <c r="A140" s="47"/>
      <c r="B140" s="47"/>
      <c r="C140" s="69"/>
      <c r="D140" s="69"/>
      <c r="E140" s="4" t="s">
        <v>130</v>
      </c>
      <c r="F140" s="101">
        <v>75</v>
      </c>
      <c r="G140" s="164">
        <v>0.5</v>
      </c>
      <c r="H140" s="75"/>
      <c r="I140" s="47"/>
      <c r="J140" s="47" t="s">
        <v>129</v>
      </c>
      <c r="K140" s="203">
        <v>24000</v>
      </c>
      <c r="L140" s="164">
        <v>0.2</v>
      </c>
      <c r="M140" s="75"/>
    </row>
    <row r="141" spans="1:13" x14ac:dyDescent="0.25">
      <c r="A141" s="47"/>
      <c r="B141" s="47"/>
      <c r="C141" s="69"/>
      <c r="D141" s="69"/>
      <c r="E141" s="4" t="s">
        <v>197</v>
      </c>
      <c r="F141" s="101">
        <v>2730</v>
      </c>
      <c r="G141" s="164">
        <v>4</v>
      </c>
      <c r="H141" s="75"/>
      <c r="I141" s="47"/>
      <c r="J141" s="47" t="s">
        <v>253</v>
      </c>
      <c r="K141" s="101">
        <v>960</v>
      </c>
      <c r="L141" s="164">
        <v>0.3</v>
      </c>
      <c r="M141" s="75"/>
    </row>
    <row r="142" spans="1:13" ht="15.75" thickBot="1" x14ac:dyDescent="0.3">
      <c r="A142" s="47"/>
      <c r="B142" s="47"/>
      <c r="C142" s="69"/>
      <c r="D142" s="69"/>
      <c r="E142" s="8"/>
      <c r="F142" s="161">
        <v>27945</v>
      </c>
      <c r="G142" s="165">
        <v>5.5</v>
      </c>
      <c r="H142" s="75"/>
      <c r="I142" s="47"/>
      <c r="J142" s="4" t="s">
        <v>249</v>
      </c>
      <c r="K142" s="101">
        <v>75</v>
      </c>
      <c r="L142" s="164">
        <v>0.3</v>
      </c>
      <c r="M142" s="75"/>
    </row>
    <row r="143" spans="1:13" ht="15.75" thickTop="1" x14ac:dyDescent="0.25">
      <c r="A143" s="47"/>
      <c r="B143" s="47"/>
      <c r="C143" s="69"/>
      <c r="D143" s="69"/>
      <c r="E143" s="8" t="s">
        <v>66</v>
      </c>
      <c r="F143" s="101"/>
      <c r="G143" s="164"/>
      <c r="H143" s="75"/>
      <c r="I143" s="47"/>
      <c r="J143" s="47" t="s">
        <v>251</v>
      </c>
      <c r="K143" s="101">
        <v>3360</v>
      </c>
      <c r="L143" s="163">
        <v>1</v>
      </c>
      <c r="M143" s="47"/>
    </row>
    <row r="144" spans="1:13" x14ac:dyDescent="0.25">
      <c r="A144" s="47"/>
      <c r="B144" s="47"/>
      <c r="C144" s="69"/>
      <c r="D144" s="69"/>
      <c r="E144" s="47" t="s">
        <v>243</v>
      </c>
      <c r="F144" s="101">
        <v>180</v>
      </c>
      <c r="G144" s="164">
        <v>0.25</v>
      </c>
      <c r="H144" s="75"/>
      <c r="I144" s="47"/>
      <c r="J144" s="4" t="s">
        <v>250</v>
      </c>
      <c r="K144" s="101">
        <v>5955</v>
      </c>
      <c r="L144" s="164">
        <v>2.5</v>
      </c>
      <c r="M144" s="75"/>
    </row>
    <row r="145" spans="1:13" ht="15.75" thickBot="1" x14ac:dyDescent="0.3">
      <c r="A145" s="47"/>
      <c r="B145" s="47"/>
      <c r="C145" s="69"/>
      <c r="D145" s="69"/>
      <c r="E145" s="47" t="s">
        <v>246</v>
      </c>
      <c r="F145" s="203">
        <v>24000</v>
      </c>
      <c r="G145" s="164">
        <v>0.25</v>
      </c>
      <c r="H145" s="75"/>
      <c r="I145" s="47"/>
      <c r="J145" s="8"/>
      <c r="K145" s="161">
        <v>34530</v>
      </c>
      <c r="L145" s="165">
        <v>4.5</v>
      </c>
      <c r="M145" s="75"/>
    </row>
    <row r="146" spans="1:13" ht="15.75" thickTop="1" x14ac:dyDescent="0.25">
      <c r="A146" s="47"/>
      <c r="B146" s="47"/>
      <c r="C146" s="69"/>
      <c r="D146" s="69"/>
      <c r="E146" s="47" t="s">
        <v>245</v>
      </c>
      <c r="F146" s="101">
        <v>960</v>
      </c>
      <c r="G146" s="164">
        <v>0.5</v>
      </c>
      <c r="H146" s="75"/>
      <c r="I146" s="47"/>
      <c r="J146" s="8" t="s">
        <v>66</v>
      </c>
      <c r="K146" s="101"/>
      <c r="L146" s="164"/>
      <c r="M146" s="75"/>
    </row>
    <row r="147" spans="1:13" x14ac:dyDescent="0.25">
      <c r="A147" s="47"/>
      <c r="B147" s="47"/>
      <c r="C147" s="69"/>
      <c r="D147" s="69"/>
      <c r="E147" s="4" t="s">
        <v>130</v>
      </c>
      <c r="F147" s="101">
        <v>75</v>
      </c>
      <c r="G147" s="164">
        <v>0.5</v>
      </c>
      <c r="H147" s="75"/>
      <c r="I147" s="47"/>
      <c r="J147" s="47" t="s">
        <v>256</v>
      </c>
      <c r="K147" s="101">
        <v>180</v>
      </c>
      <c r="L147" s="164">
        <v>0.2</v>
      </c>
      <c r="M147" s="75"/>
    </row>
    <row r="148" spans="1:13" ht="15.75" thickBot="1" x14ac:dyDescent="0.3">
      <c r="A148" s="47"/>
      <c r="B148" s="47"/>
      <c r="C148" s="69"/>
      <c r="D148" s="69"/>
      <c r="E148" s="1"/>
      <c r="F148" s="161">
        <v>25215</v>
      </c>
      <c r="G148" s="165">
        <v>1.5</v>
      </c>
      <c r="H148" s="75"/>
      <c r="I148" s="47"/>
      <c r="J148" s="47" t="s">
        <v>246</v>
      </c>
      <c r="K148" s="203">
        <v>24000</v>
      </c>
      <c r="L148" s="164">
        <v>0.2</v>
      </c>
      <c r="M148" s="75"/>
    </row>
    <row r="149" spans="1:13" ht="16.5" thickTop="1" thickBot="1" x14ac:dyDescent="0.3">
      <c r="A149" s="47"/>
      <c r="B149" s="47"/>
      <c r="C149" s="69"/>
      <c r="D149" s="69"/>
      <c r="E149" s="72" t="s">
        <v>67</v>
      </c>
      <c r="F149" s="162">
        <v>400308</v>
      </c>
      <c r="G149" s="167">
        <v>17.5</v>
      </c>
      <c r="H149" s="75"/>
      <c r="I149" s="47"/>
      <c r="J149" s="47" t="s">
        <v>253</v>
      </c>
      <c r="K149" s="101">
        <v>960</v>
      </c>
      <c r="L149" s="164">
        <v>0.3</v>
      </c>
      <c r="M149" s="75"/>
    </row>
    <row r="150" spans="1:13" ht="15.75" thickTop="1" x14ac:dyDescent="0.25">
      <c r="A150" s="47"/>
      <c r="B150" s="47"/>
      <c r="C150" s="69"/>
      <c r="D150" s="69"/>
      <c r="E150" s="69"/>
      <c r="F150" s="69"/>
      <c r="G150" s="69"/>
      <c r="H150" s="75"/>
      <c r="I150" s="47"/>
      <c r="J150" s="4" t="s">
        <v>249</v>
      </c>
      <c r="K150" s="101">
        <v>75</v>
      </c>
      <c r="L150" s="163">
        <v>0.3</v>
      </c>
      <c r="M150" s="47"/>
    </row>
    <row r="151" spans="1:13" ht="19.5" thickBot="1" x14ac:dyDescent="0.35">
      <c r="A151" s="47"/>
      <c r="B151" s="47"/>
      <c r="C151" s="69"/>
      <c r="D151" s="69"/>
      <c r="E151" s="184" t="s">
        <v>78</v>
      </c>
      <c r="F151" s="185">
        <v>8.5766808073017096</v>
      </c>
      <c r="G151" s="47"/>
      <c r="H151" s="75"/>
      <c r="I151" s="47"/>
      <c r="J151" s="47" t="s">
        <v>251</v>
      </c>
      <c r="K151" s="101">
        <v>3360</v>
      </c>
      <c r="L151" s="163">
        <v>1</v>
      </c>
      <c r="M151" s="47"/>
    </row>
    <row r="152" spans="1:13" ht="16.5" thickTop="1" x14ac:dyDescent="0.25">
      <c r="A152" s="47"/>
      <c r="B152" s="47"/>
      <c r="C152" s="69"/>
      <c r="D152" s="69"/>
      <c r="E152" s="186" t="s">
        <v>69</v>
      </c>
      <c r="F152" s="187">
        <v>132000</v>
      </c>
      <c r="G152" s="47"/>
      <c r="H152" s="69"/>
      <c r="I152" s="47"/>
      <c r="J152" s="4" t="s">
        <v>250</v>
      </c>
      <c r="K152" s="101">
        <v>5955</v>
      </c>
      <c r="L152" s="164">
        <v>2.5</v>
      </c>
      <c r="M152" s="75"/>
    </row>
    <row r="153" spans="1:13" ht="15.75" x14ac:dyDescent="0.25">
      <c r="A153" s="47"/>
      <c r="B153" s="47"/>
      <c r="C153" s="69"/>
      <c r="D153" s="69"/>
      <c r="E153" s="186" t="s">
        <v>70</v>
      </c>
      <c r="F153" s="187">
        <v>268308</v>
      </c>
      <c r="G153" s="47"/>
      <c r="H153" s="69"/>
      <c r="I153" s="47"/>
      <c r="J153" s="47"/>
      <c r="K153" s="160">
        <v>34530</v>
      </c>
      <c r="L153" s="166">
        <v>4.5</v>
      </c>
      <c r="M153" s="75"/>
    </row>
    <row r="154" spans="1:13" ht="19.5" thickBot="1" x14ac:dyDescent="0.35">
      <c r="A154" s="78"/>
      <c r="B154" s="78"/>
      <c r="C154" s="79"/>
      <c r="D154" s="79"/>
      <c r="E154" s="188" t="s">
        <v>75</v>
      </c>
      <c r="F154" s="189">
        <v>0.67025390449353994</v>
      </c>
      <c r="G154" s="47"/>
      <c r="H154" s="78"/>
      <c r="I154" s="78"/>
      <c r="J154" s="72" t="s">
        <v>67</v>
      </c>
      <c r="K154" s="162">
        <v>512250</v>
      </c>
      <c r="L154" s="167">
        <v>18</v>
      </c>
      <c r="M154" s="75"/>
    </row>
    <row r="155" spans="1:13" ht="16.5" thickTop="1" x14ac:dyDescent="0.25">
      <c r="A155" s="47"/>
      <c r="B155" s="47"/>
      <c r="C155" s="69"/>
      <c r="D155" s="69"/>
      <c r="E155" s="188" t="s">
        <v>76</v>
      </c>
      <c r="F155" s="189">
        <v>0.32974609550646006</v>
      </c>
      <c r="G155" s="47"/>
      <c r="H155" s="47"/>
      <c r="I155" s="47"/>
      <c r="J155" s="69"/>
      <c r="K155" s="69"/>
      <c r="L155" s="47"/>
      <c r="M155" s="75"/>
    </row>
    <row r="156" spans="1:13" ht="19.5" thickBot="1" x14ac:dyDescent="0.35">
      <c r="A156" s="47"/>
      <c r="B156" s="47"/>
      <c r="C156" s="69"/>
      <c r="D156" s="69"/>
      <c r="E156" s="47"/>
      <c r="F156" s="47"/>
      <c r="G156" s="47"/>
      <c r="H156" s="47"/>
      <c r="I156" s="47"/>
      <c r="J156" s="184" t="s">
        <v>135</v>
      </c>
      <c r="K156" s="185">
        <v>10.97506106183314</v>
      </c>
      <c r="L156" s="47"/>
      <c r="M156" s="69"/>
    </row>
    <row r="157" spans="1:13" ht="20.25" thickTop="1" thickBot="1" x14ac:dyDescent="0.35">
      <c r="A157" s="47"/>
      <c r="B157" s="47"/>
      <c r="C157" s="69"/>
      <c r="D157" s="69"/>
      <c r="E157" s="47"/>
      <c r="F157" s="47"/>
      <c r="G157" s="47"/>
      <c r="H157" s="47"/>
      <c r="I157" s="47"/>
      <c r="J157" s="184" t="s">
        <v>134</v>
      </c>
      <c r="K157" s="185">
        <v>1.2796396774483647</v>
      </c>
      <c r="L157" s="47"/>
      <c r="M157" s="47"/>
    </row>
    <row r="158" spans="1:13" ht="16.5" thickTop="1" x14ac:dyDescent="0.25">
      <c r="A158" s="47"/>
      <c r="B158" s="47"/>
      <c r="C158" s="69"/>
      <c r="D158" s="69"/>
      <c r="E158" s="47"/>
      <c r="F158" s="47"/>
      <c r="G158" s="47"/>
      <c r="H158" s="47"/>
      <c r="I158" s="47"/>
      <c r="J158" s="186" t="s">
        <v>69</v>
      </c>
      <c r="K158" s="187">
        <v>132000</v>
      </c>
      <c r="L158" s="47"/>
      <c r="M158" s="69"/>
    </row>
    <row r="159" spans="1:13" ht="18.75" x14ac:dyDescent="0.3">
      <c r="A159" s="47"/>
      <c r="B159" s="47"/>
      <c r="C159" s="69"/>
      <c r="D159" s="69"/>
      <c r="E159" s="47"/>
      <c r="F159" s="47"/>
      <c r="G159" s="47"/>
      <c r="H159" s="47"/>
      <c r="I159" s="47"/>
      <c r="J159" s="186" t="s">
        <v>70</v>
      </c>
      <c r="K159" s="187">
        <v>380250</v>
      </c>
      <c r="L159" s="47"/>
      <c r="M159" s="78"/>
    </row>
    <row r="160" spans="1:13" ht="15.75" x14ac:dyDescent="0.25">
      <c r="A160" s="47"/>
      <c r="B160" s="47"/>
      <c r="C160" s="69"/>
      <c r="D160" s="69"/>
      <c r="E160" s="47"/>
      <c r="F160" s="47"/>
      <c r="G160" s="47"/>
      <c r="H160" s="47"/>
      <c r="I160" s="47"/>
      <c r="J160" s="188" t="s">
        <v>75</v>
      </c>
      <c r="K160" s="189">
        <v>0.74231332357247437</v>
      </c>
      <c r="L160" s="47"/>
      <c r="M160" s="47"/>
    </row>
    <row r="161" spans="1:13" ht="15.75" x14ac:dyDescent="0.25">
      <c r="A161" s="47"/>
      <c r="B161" s="47"/>
      <c r="C161" s="69"/>
      <c r="D161" s="69"/>
      <c r="E161" s="47"/>
      <c r="F161" s="47"/>
      <c r="G161" s="47"/>
      <c r="H161" s="47"/>
      <c r="I161" s="47"/>
      <c r="J161" s="188" t="s">
        <v>76</v>
      </c>
      <c r="K161" s="189">
        <v>0.25768667642752563</v>
      </c>
      <c r="L161" s="47"/>
      <c r="M161" s="47"/>
    </row>
    <row r="163" spans="1:13" x14ac:dyDescent="0.25">
      <c r="A163" s="48" t="s">
        <v>273</v>
      </c>
    </row>
    <row r="164" spans="1:13" x14ac:dyDescent="0.25">
      <c r="A164" s="178" t="s">
        <v>276</v>
      </c>
      <c r="B164" s="179" t="s">
        <v>194</v>
      </c>
      <c r="C164" s="179" t="s">
        <v>25</v>
      </c>
      <c r="D164" s="180"/>
      <c r="E164" s="181" t="s">
        <v>277</v>
      </c>
      <c r="F164" s="182" t="s">
        <v>194</v>
      </c>
      <c r="G164" s="182" t="s">
        <v>25</v>
      </c>
      <c r="H164" s="182" t="s">
        <v>25</v>
      </c>
      <c r="I164" s="183"/>
      <c r="J164" s="181" t="s">
        <v>278</v>
      </c>
      <c r="K164" s="182" t="s">
        <v>194</v>
      </c>
      <c r="L164" s="182" t="s">
        <v>25</v>
      </c>
      <c r="M164" s="182" t="s">
        <v>25</v>
      </c>
    </row>
    <row r="165" spans="1:13" x14ac:dyDescent="0.25">
      <c r="A165" s="47"/>
      <c r="B165" s="102"/>
      <c r="C165" s="69"/>
      <c r="D165" s="69"/>
      <c r="E165" s="4"/>
      <c r="F165" s="4"/>
      <c r="G165" s="4"/>
      <c r="H165" s="75"/>
      <c r="I165" s="47"/>
      <c r="J165" s="4"/>
      <c r="K165" s="4"/>
      <c r="L165" s="164"/>
      <c r="M165" s="75"/>
    </row>
    <row r="166" spans="1:13" x14ac:dyDescent="0.25">
      <c r="A166" s="8" t="s">
        <v>62</v>
      </c>
      <c r="B166" s="103"/>
      <c r="C166" s="9"/>
      <c r="D166" s="69"/>
      <c r="E166" s="8" t="s">
        <v>239</v>
      </c>
      <c r="F166" s="4"/>
      <c r="G166" s="164"/>
      <c r="H166" s="75"/>
      <c r="I166" s="47"/>
      <c r="J166" s="8" t="s">
        <v>247</v>
      </c>
      <c r="K166" s="4"/>
      <c r="L166" s="164"/>
      <c r="M166" s="75"/>
    </row>
    <row r="167" spans="1:13" x14ac:dyDescent="0.25">
      <c r="A167" s="1" t="s">
        <v>255</v>
      </c>
      <c r="B167" s="105">
        <v>9180</v>
      </c>
      <c r="C167" s="9"/>
      <c r="D167" s="69"/>
      <c r="E167" s="4" t="s">
        <v>196</v>
      </c>
      <c r="F167" s="203">
        <v>18000</v>
      </c>
      <c r="G167" s="164">
        <v>0</v>
      </c>
      <c r="H167" s="75"/>
      <c r="I167" s="47"/>
      <c r="J167" s="4" t="s">
        <v>196</v>
      </c>
      <c r="K167" s="203">
        <v>18000</v>
      </c>
      <c r="L167" s="164">
        <v>0</v>
      </c>
      <c r="M167" s="75"/>
    </row>
    <row r="168" spans="1:13" ht="15.75" thickBot="1" x14ac:dyDescent="0.3">
      <c r="A168" s="47"/>
      <c r="B168" s="161">
        <v>9180</v>
      </c>
      <c r="C168" s="69"/>
      <c r="D168" s="69"/>
      <c r="E168" s="4" t="s">
        <v>169</v>
      </c>
      <c r="F168" s="101">
        <v>9180</v>
      </c>
      <c r="G168" s="164">
        <v>0</v>
      </c>
      <c r="H168" s="75"/>
      <c r="I168" s="47"/>
      <c r="J168" s="4" t="s">
        <v>169</v>
      </c>
      <c r="K168" s="101">
        <v>9180</v>
      </c>
      <c r="L168" s="164">
        <v>0</v>
      </c>
      <c r="M168" s="75"/>
    </row>
    <row r="169" spans="1:13" ht="16.5" thickTop="1" thickBot="1" x14ac:dyDescent="0.3">
      <c r="A169" s="8" t="s">
        <v>59</v>
      </c>
      <c r="B169" s="104"/>
      <c r="C169" s="10"/>
      <c r="D169" s="69"/>
      <c r="E169" s="4"/>
      <c r="F169" s="161">
        <v>27180</v>
      </c>
      <c r="G169" s="165">
        <v>0</v>
      </c>
      <c r="H169" s="75"/>
      <c r="I169" s="47"/>
      <c r="J169" s="4"/>
      <c r="K169" s="161">
        <v>27180</v>
      </c>
      <c r="L169" s="165">
        <v>0</v>
      </c>
      <c r="M169" s="75"/>
    </row>
    <row r="170" spans="1:13" ht="15.75" thickTop="1" x14ac:dyDescent="0.25">
      <c r="A170" s="47" t="s">
        <v>119</v>
      </c>
      <c r="B170" s="105">
        <v>360</v>
      </c>
      <c r="C170" s="74">
        <v>0.5</v>
      </c>
      <c r="D170" s="69"/>
      <c r="E170" s="8" t="s">
        <v>240</v>
      </c>
      <c r="F170" s="101"/>
      <c r="G170" s="164"/>
      <c r="H170" s="75"/>
      <c r="I170" s="47"/>
      <c r="J170" s="8" t="s">
        <v>59</v>
      </c>
      <c r="K170" s="101"/>
      <c r="L170" s="164"/>
      <c r="M170" s="75"/>
    </row>
    <row r="171" spans="1:13" x14ac:dyDescent="0.25">
      <c r="A171" s="47" t="s">
        <v>238</v>
      </c>
      <c r="B171" s="105">
        <v>4076.9999999999995</v>
      </c>
      <c r="C171" s="74">
        <v>0.33333333333333331</v>
      </c>
      <c r="D171" s="69"/>
      <c r="E171" s="47" t="s">
        <v>242</v>
      </c>
      <c r="F171" s="101">
        <v>450</v>
      </c>
      <c r="G171" s="164">
        <v>0.25</v>
      </c>
      <c r="H171" s="75"/>
      <c r="I171" s="47"/>
      <c r="J171" s="47" t="s">
        <v>242</v>
      </c>
      <c r="K171" s="101">
        <v>450</v>
      </c>
      <c r="L171" s="164">
        <v>0.2</v>
      </c>
      <c r="M171" s="75"/>
    </row>
    <row r="172" spans="1:13" x14ac:dyDescent="0.25">
      <c r="A172" s="47" t="s">
        <v>60</v>
      </c>
      <c r="B172" s="105">
        <v>14310</v>
      </c>
      <c r="C172" s="74">
        <v>7.666666666666667</v>
      </c>
      <c r="D172" s="69"/>
      <c r="E172" s="47" t="s">
        <v>129</v>
      </c>
      <c r="F172" s="203">
        <v>12000</v>
      </c>
      <c r="G172" s="164">
        <v>0.25</v>
      </c>
      <c r="H172" s="75"/>
      <c r="I172" s="47"/>
      <c r="J172" s="47" t="s">
        <v>129</v>
      </c>
      <c r="K172" s="203">
        <v>12000</v>
      </c>
      <c r="L172" s="164">
        <v>0.2</v>
      </c>
      <c r="M172" s="75"/>
    </row>
    <row r="173" spans="1:13" ht="15.75" thickBot="1" x14ac:dyDescent="0.3">
      <c r="A173" s="47"/>
      <c r="B173" s="161">
        <v>18747</v>
      </c>
      <c r="C173" s="74"/>
      <c r="D173" s="69"/>
      <c r="E173" s="47" t="s">
        <v>244</v>
      </c>
      <c r="F173" s="101">
        <v>960</v>
      </c>
      <c r="G173" s="164">
        <v>0.5</v>
      </c>
      <c r="H173" s="47"/>
      <c r="I173" s="47"/>
      <c r="J173" s="47" t="s">
        <v>248</v>
      </c>
      <c r="K173" s="101">
        <v>960</v>
      </c>
      <c r="L173" s="164">
        <v>0.3</v>
      </c>
      <c r="M173" s="47"/>
    </row>
    <row r="174" spans="1:13" ht="15.75" thickTop="1" x14ac:dyDescent="0.25">
      <c r="A174" s="8" t="s">
        <v>61</v>
      </c>
      <c r="B174" s="105"/>
      <c r="C174" s="74"/>
      <c r="D174" s="69"/>
      <c r="E174" s="4" t="s">
        <v>130</v>
      </c>
      <c r="F174" s="101">
        <v>75</v>
      </c>
      <c r="G174" s="164">
        <v>0.5</v>
      </c>
      <c r="H174" s="75"/>
      <c r="I174" s="47"/>
      <c r="J174" s="4" t="s">
        <v>249</v>
      </c>
      <c r="K174" s="101">
        <v>75</v>
      </c>
      <c r="L174" s="164">
        <v>0.3</v>
      </c>
      <c r="M174" s="75"/>
    </row>
    <row r="175" spans="1:13" x14ac:dyDescent="0.25">
      <c r="A175" s="47" t="s">
        <v>119</v>
      </c>
      <c r="B175" s="105">
        <v>360</v>
      </c>
      <c r="C175" s="74">
        <v>0.5</v>
      </c>
      <c r="D175" s="69"/>
      <c r="E175" s="4" t="s">
        <v>197</v>
      </c>
      <c r="F175" s="101">
        <v>2730</v>
      </c>
      <c r="G175" s="164">
        <v>4</v>
      </c>
      <c r="H175" s="75"/>
      <c r="I175" s="47"/>
      <c r="J175" s="47" t="s">
        <v>251</v>
      </c>
      <c r="K175" s="101">
        <v>3360</v>
      </c>
      <c r="L175" s="163">
        <v>1</v>
      </c>
      <c r="M175" s="75"/>
    </row>
    <row r="176" spans="1:13" ht="15.75" thickBot="1" x14ac:dyDescent="0.3">
      <c r="A176" s="47" t="s">
        <v>238</v>
      </c>
      <c r="B176" s="105">
        <v>4076.9999999999995</v>
      </c>
      <c r="C176" s="74">
        <v>0.33333333333333331</v>
      </c>
      <c r="D176" s="69"/>
      <c r="E176" s="76"/>
      <c r="F176" s="161">
        <v>16215</v>
      </c>
      <c r="G176" s="165">
        <v>5.5</v>
      </c>
      <c r="H176" s="75"/>
      <c r="I176" s="47"/>
      <c r="J176" s="4" t="s">
        <v>250</v>
      </c>
      <c r="K176" s="101">
        <v>5955</v>
      </c>
      <c r="L176" s="164">
        <v>2.5</v>
      </c>
      <c r="M176" s="75"/>
    </row>
    <row r="177" spans="1:13" ht="16.5" thickTop="1" thickBot="1" x14ac:dyDescent="0.3">
      <c r="A177" s="47" t="s">
        <v>60</v>
      </c>
      <c r="B177" s="105">
        <v>14310</v>
      </c>
      <c r="C177" s="74">
        <v>7.666666666666667</v>
      </c>
      <c r="D177" s="69"/>
      <c r="E177" s="8" t="s">
        <v>241</v>
      </c>
      <c r="F177" s="101"/>
      <c r="G177" s="164"/>
      <c r="H177" s="75"/>
      <c r="I177" s="47"/>
      <c r="J177" s="76"/>
      <c r="K177" s="161">
        <v>22800</v>
      </c>
      <c r="L177" s="165">
        <v>4.5</v>
      </c>
      <c r="M177" s="75"/>
    </row>
    <row r="178" spans="1:13" ht="16.5" thickTop="1" thickBot="1" x14ac:dyDescent="0.3">
      <c r="A178" s="47"/>
      <c r="B178" s="161">
        <v>18747</v>
      </c>
      <c r="C178" s="74"/>
      <c r="D178" s="69"/>
      <c r="E178" s="47" t="s">
        <v>243</v>
      </c>
      <c r="F178" s="101">
        <v>180</v>
      </c>
      <c r="G178" s="164">
        <v>0.25</v>
      </c>
      <c r="H178" s="75"/>
      <c r="I178" s="47"/>
      <c r="J178" s="8" t="s">
        <v>61</v>
      </c>
      <c r="K178" s="101"/>
      <c r="L178" s="164"/>
      <c r="M178" s="75"/>
    </row>
    <row r="179" spans="1:13" ht="16.5" thickTop="1" thickBot="1" x14ac:dyDescent="0.3">
      <c r="A179" s="72" t="s">
        <v>195</v>
      </c>
      <c r="B179" s="162">
        <v>46674</v>
      </c>
      <c r="C179" s="175">
        <v>17</v>
      </c>
      <c r="D179" s="69"/>
      <c r="E179" s="47" t="s">
        <v>129</v>
      </c>
      <c r="F179" s="203">
        <v>12000</v>
      </c>
      <c r="G179" s="164">
        <v>0.25</v>
      </c>
      <c r="H179" s="75"/>
      <c r="I179" s="47"/>
      <c r="J179" s="47" t="s">
        <v>256</v>
      </c>
      <c r="K179" s="101">
        <v>180</v>
      </c>
      <c r="L179" s="164">
        <v>0.2</v>
      </c>
      <c r="M179" s="75"/>
    </row>
    <row r="180" spans="1:13" ht="15.75" thickTop="1" x14ac:dyDescent="0.25">
      <c r="A180" s="74"/>
      <c r="B180" s="74"/>
      <c r="C180" s="74"/>
      <c r="D180" s="69"/>
      <c r="E180" s="47" t="s">
        <v>244</v>
      </c>
      <c r="F180" s="101">
        <v>960</v>
      </c>
      <c r="G180" s="164">
        <v>0</v>
      </c>
      <c r="H180" s="75"/>
      <c r="I180" s="47"/>
      <c r="J180" s="47" t="s">
        <v>129</v>
      </c>
      <c r="K180" s="203">
        <v>12000</v>
      </c>
      <c r="L180" s="164">
        <v>0.2</v>
      </c>
      <c r="M180" s="75"/>
    </row>
    <row r="181" spans="1:13" x14ac:dyDescent="0.25">
      <c r="A181" s="47"/>
      <c r="B181" s="47"/>
      <c r="C181" s="69"/>
      <c r="D181" s="69"/>
      <c r="E181" s="4" t="s">
        <v>130</v>
      </c>
      <c r="F181" s="101">
        <v>75</v>
      </c>
      <c r="G181" s="164">
        <v>0.5</v>
      </c>
      <c r="H181" s="47"/>
      <c r="I181" s="47"/>
      <c r="J181" s="47" t="s">
        <v>248</v>
      </c>
      <c r="K181" s="101">
        <v>960</v>
      </c>
      <c r="L181" s="164">
        <v>0.3</v>
      </c>
      <c r="M181" s="47"/>
    </row>
    <row r="182" spans="1:13" x14ac:dyDescent="0.25">
      <c r="A182" s="47"/>
      <c r="B182" s="47"/>
      <c r="C182" s="69"/>
      <c r="D182" s="69"/>
      <c r="E182" s="4" t="s">
        <v>197</v>
      </c>
      <c r="F182" s="101">
        <v>2730</v>
      </c>
      <c r="G182" s="164">
        <v>4</v>
      </c>
      <c r="H182" s="75"/>
      <c r="I182" s="47"/>
      <c r="J182" s="4" t="s">
        <v>249</v>
      </c>
      <c r="K182" s="101">
        <v>75</v>
      </c>
      <c r="L182" s="164">
        <v>0.3</v>
      </c>
      <c r="M182" s="75"/>
    </row>
    <row r="183" spans="1:13" ht="15.75" thickBot="1" x14ac:dyDescent="0.3">
      <c r="A183" s="47"/>
      <c r="B183" s="102"/>
      <c r="C183" s="69"/>
      <c r="D183" s="69"/>
      <c r="E183" s="47"/>
      <c r="F183" s="161">
        <v>15945</v>
      </c>
      <c r="G183" s="165">
        <v>5</v>
      </c>
      <c r="H183" s="47"/>
      <c r="I183" s="47"/>
      <c r="J183" s="47" t="s">
        <v>251</v>
      </c>
      <c r="K183" s="101">
        <v>3360</v>
      </c>
      <c r="L183" s="163">
        <v>1</v>
      </c>
      <c r="M183" s="47"/>
    </row>
    <row r="184" spans="1:13" ht="15.75" thickTop="1" x14ac:dyDescent="0.25">
      <c r="A184" s="47"/>
      <c r="B184" s="47"/>
      <c r="C184" s="69"/>
      <c r="D184" s="69"/>
      <c r="E184" s="71" t="s">
        <v>26</v>
      </c>
      <c r="F184" s="101"/>
      <c r="G184" s="164"/>
      <c r="H184" s="75"/>
      <c r="I184" s="47"/>
      <c r="J184" s="4" t="s">
        <v>250</v>
      </c>
      <c r="K184" s="101">
        <v>5955</v>
      </c>
      <c r="L184" s="164">
        <v>2.5</v>
      </c>
      <c r="M184" s="47"/>
    </row>
    <row r="185" spans="1:13" ht="15.75" thickBot="1" x14ac:dyDescent="0.3">
      <c r="A185" s="47"/>
      <c r="B185" s="47"/>
      <c r="C185" s="69"/>
      <c r="D185" s="69"/>
      <c r="E185" s="73" t="s">
        <v>132</v>
      </c>
      <c r="F185" s="101">
        <v>27000</v>
      </c>
      <c r="G185" s="164"/>
      <c r="H185" s="77">
        <v>0.5</v>
      </c>
      <c r="I185" s="47"/>
      <c r="J185" s="47"/>
      <c r="K185" s="161">
        <v>22530</v>
      </c>
      <c r="L185" s="165">
        <v>4.5</v>
      </c>
      <c r="M185" s="75"/>
    </row>
    <row r="186" spans="1:13" ht="15.75" thickTop="1" x14ac:dyDescent="0.25">
      <c r="A186" s="47"/>
      <c r="B186" s="47"/>
      <c r="C186" s="69"/>
      <c r="D186" s="69"/>
      <c r="E186" s="73" t="s">
        <v>63</v>
      </c>
      <c r="F186" s="101">
        <v>97847.999999999985</v>
      </c>
      <c r="G186" s="164"/>
      <c r="H186" s="77">
        <v>0.33333333333333331</v>
      </c>
      <c r="I186" s="47"/>
      <c r="J186" s="71" t="s">
        <v>26</v>
      </c>
      <c r="K186" s="101"/>
      <c r="L186" s="164"/>
      <c r="M186" s="47"/>
    </row>
    <row r="187" spans="1:13" x14ac:dyDescent="0.25">
      <c r="A187" s="47"/>
      <c r="B187" s="47"/>
      <c r="C187" s="69"/>
      <c r="D187" s="69"/>
      <c r="E187" s="73" t="s">
        <v>64</v>
      </c>
      <c r="F187" s="101">
        <v>120960</v>
      </c>
      <c r="G187" s="164"/>
      <c r="H187" s="77">
        <v>8.6999999999999993</v>
      </c>
      <c r="I187" s="47"/>
      <c r="J187" s="73" t="s">
        <v>132</v>
      </c>
      <c r="K187" s="101">
        <v>27000</v>
      </c>
      <c r="L187" s="164"/>
      <c r="M187" s="77">
        <v>0.5</v>
      </c>
    </row>
    <row r="188" spans="1:13" ht="15.75" thickBot="1" x14ac:dyDescent="0.3">
      <c r="A188" s="47">
        <v>18</v>
      </c>
      <c r="B188" s="47"/>
      <c r="C188" s="69"/>
      <c r="D188" s="69"/>
      <c r="E188" s="73"/>
      <c r="F188" s="161">
        <v>245808</v>
      </c>
      <c r="G188" s="47"/>
      <c r="H188" s="165">
        <v>9.5333333333333332</v>
      </c>
      <c r="I188" s="47"/>
      <c r="J188" s="73" t="s">
        <v>63</v>
      </c>
      <c r="K188" s="101">
        <v>97847.999999999985</v>
      </c>
      <c r="L188" s="164"/>
      <c r="M188" s="77">
        <v>0.33333333333333331</v>
      </c>
    </row>
    <row r="189" spans="1:13" ht="15.75" thickTop="1" x14ac:dyDescent="0.25">
      <c r="A189" s="47">
        <v>12</v>
      </c>
      <c r="B189" s="47"/>
      <c r="C189" s="69"/>
      <c r="D189" s="69"/>
      <c r="E189" s="8" t="s">
        <v>65</v>
      </c>
      <c r="F189" s="101"/>
      <c r="G189" s="164"/>
      <c r="H189" s="76"/>
      <c r="I189" s="47"/>
      <c r="J189" s="73" t="s">
        <v>64</v>
      </c>
      <c r="K189" s="101">
        <v>120960</v>
      </c>
      <c r="L189" s="164"/>
      <c r="M189" s="77">
        <v>8.6999999999999993</v>
      </c>
    </row>
    <row r="190" spans="1:13" ht="15.75" thickBot="1" x14ac:dyDescent="0.3">
      <c r="A190" s="47"/>
      <c r="B190" s="47"/>
      <c r="C190" s="69"/>
      <c r="D190" s="69"/>
      <c r="E190" s="47" t="s">
        <v>243</v>
      </c>
      <c r="F190" s="101">
        <v>180</v>
      </c>
      <c r="G190" s="164">
        <v>0.25</v>
      </c>
      <c r="H190" s="75"/>
      <c r="I190" s="47"/>
      <c r="J190" s="73"/>
      <c r="K190" s="161">
        <v>245808</v>
      </c>
      <c r="L190" s="163"/>
      <c r="M190" s="165">
        <v>9.5333333333333332</v>
      </c>
    </row>
    <row r="191" spans="1:13" ht="15.75" thickTop="1" x14ac:dyDescent="0.25">
      <c r="A191" s="47"/>
      <c r="B191" s="47"/>
      <c r="C191" s="69"/>
      <c r="D191" s="69"/>
      <c r="E191" s="47" t="s">
        <v>129</v>
      </c>
      <c r="F191" s="203">
        <v>12000</v>
      </c>
      <c r="G191" s="164">
        <v>0.25</v>
      </c>
      <c r="H191" s="75"/>
      <c r="I191" s="47"/>
      <c r="J191" s="8" t="s">
        <v>65</v>
      </c>
      <c r="K191" s="101"/>
      <c r="L191" s="164"/>
      <c r="M191" s="75"/>
    </row>
    <row r="192" spans="1:13" x14ac:dyDescent="0.25">
      <c r="A192" s="47"/>
      <c r="B192" s="47"/>
      <c r="C192" s="69"/>
      <c r="D192" s="69"/>
      <c r="E192" s="47" t="s">
        <v>245</v>
      </c>
      <c r="F192" s="101">
        <v>960</v>
      </c>
      <c r="G192" s="164">
        <v>0.5</v>
      </c>
      <c r="H192" s="75"/>
      <c r="I192" s="47"/>
      <c r="J192" s="47" t="s">
        <v>256</v>
      </c>
      <c r="K192" s="101">
        <v>180</v>
      </c>
      <c r="L192" s="164">
        <v>0.2</v>
      </c>
      <c r="M192" s="75"/>
    </row>
    <row r="193" spans="1:13" x14ac:dyDescent="0.25">
      <c r="A193" s="47"/>
      <c r="B193" s="47"/>
      <c r="C193" s="69"/>
      <c r="D193" s="69"/>
      <c r="E193" s="4" t="s">
        <v>130</v>
      </c>
      <c r="F193" s="101">
        <v>75</v>
      </c>
      <c r="G193" s="164">
        <v>0.5</v>
      </c>
      <c r="H193" s="75"/>
      <c r="I193" s="47"/>
      <c r="J193" s="47" t="s">
        <v>129</v>
      </c>
      <c r="K193" s="203">
        <v>12000</v>
      </c>
      <c r="L193" s="164">
        <v>0.2</v>
      </c>
      <c r="M193" s="75"/>
    </row>
    <row r="194" spans="1:13" x14ac:dyDescent="0.25">
      <c r="A194" s="47"/>
      <c r="B194" s="47"/>
      <c r="C194" s="69"/>
      <c r="D194" s="69"/>
      <c r="E194" s="4" t="s">
        <v>197</v>
      </c>
      <c r="F194" s="101">
        <v>2730</v>
      </c>
      <c r="G194" s="164">
        <v>4</v>
      </c>
      <c r="H194" s="75"/>
      <c r="I194" s="47"/>
      <c r="J194" s="47" t="s">
        <v>253</v>
      </c>
      <c r="K194" s="101">
        <v>960</v>
      </c>
      <c r="L194" s="164">
        <v>0.3</v>
      </c>
      <c r="M194" s="75"/>
    </row>
    <row r="195" spans="1:13" ht="15.75" thickBot="1" x14ac:dyDescent="0.3">
      <c r="A195" s="47"/>
      <c r="B195" s="47"/>
      <c r="C195" s="69"/>
      <c r="D195" s="69"/>
      <c r="E195" s="8"/>
      <c r="F195" s="161">
        <v>15945</v>
      </c>
      <c r="G195" s="165">
        <v>5.5</v>
      </c>
      <c r="H195" s="75"/>
      <c r="I195" s="47"/>
      <c r="J195" s="4" t="s">
        <v>249</v>
      </c>
      <c r="K195" s="101">
        <v>75</v>
      </c>
      <c r="L195" s="164">
        <v>0.3</v>
      </c>
      <c r="M195" s="75"/>
    </row>
    <row r="196" spans="1:13" ht="15.75" thickTop="1" x14ac:dyDescent="0.25">
      <c r="A196" s="47"/>
      <c r="B196" s="47"/>
      <c r="C196" s="69"/>
      <c r="D196" s="69"/>
      <c r="E196" s="8" t="s">
        <v>66</v>
      </c>
      <c r="F196" s="101"/>
      <c r="G196" s="164"/>
      <c r="H196" s="75"/>
      <c r="I196" s="47"/>
      <c r="J196" s="47" t="s">
        <v>251</v>
      </c>
      <c r="K196" s="101">
        <v>3360</v>
      </c>
      <c r="L196" s="163">
        <v>1</v>
      </c>
      <c r="M196" s="47"/>
    </row>
    <row r="197" spans="1:13" x14ac:dyDescent="0.25">
      <c r="A197" s="47"/>
      <c r="B197" s="47"/>
      <c r="C197" s="69"/>
      <c r="D197" s="69"/>
      <c r="E197" s="47" t="s">
        <v>243</v>
      </c>
      <c r="F197" s="101">
        <v>180</v>
      </c>
      <c r="G197" s="164">
        <v>0.25</v>
      </c>
      <c r="H197" s="75"/>
      <c r="I197" s="47"/>
      <c r="J197" s="4" t="s">
        <v>250</v>
      </c>
      <c r="K197" s="101">
        <v>5955</v>
      </c>
      <c r="L197" s="164">
        <v>2.5</v>
      </c>
      <c r="M197" s="75"/>
    </row>
    <row r="198" spans="1:13" ht="15.75" thickBot="1" x14ac:dyDescent="0.3">
      <c r="A198" s="47"/>
      <c r="B198" s="47"/>
      <c r="C198" s="69"/>
      <c r="D198" s="69"/>
      <c r="E198" s="47" t="s">
        <v>246</v>
      </c>
      <c r="F198" s="203">
        <v>12000</v>
      </c>
      <c r="G198" s="164">
        <v>0.25</v>
      </c>
      <c r="H198" s="75"/>
      <c r="I198" s="47"/>
      <c r="J198" s="8"/>
      <c r="K198" s="161">
        <v>22530</v>
      </c>
      <c r="L198" s="165">
        <v>4.5</v>
      </c>
      <c r="M198" s="75"/>
    </row>
    <row r="199" spans="1:13" ht="15.75" thickTop="1" x14ac:dyDescent="0.25">
      <c r="A199" s="47"/>
      <c r="B199" s="47"/>
      <c r="C199" s="69"/>
      <c r="D199" s="69"/>
      <c r="E199" s="47" t="s">
        <v>245</v>
      </c>
      <c r="F199" s="101">
        <v>960</v>
      </c>
      <c r="G199" s="164">
        <v>0.5</v>
      </c>
      <c r="H199" s="75"/>
      <c r="I199" s="47"/>
      <c r="J199" s="8" t="s">
        <v>66</v>
      </c>
      <c r="K199" s="101"/>
      <c r="L199" s="164"/>
      <c r="M199" s="75"/>
    </row>
    <row r="200" spans="1:13" x14ac:dyDescent="0.25">
      <c r="A200" s="47"/>
      <c r="B200" s="47"/>
      <c r="C200" s="69"/>
      <c r="D200" s="69"/>
      <c r="E200" s="4" t="s">
        <v>130</v>
      </c>
      <c r="F200" s="101">
        <v>75</v>
      </c>
      <c r="G200" s="164">
        <v>0.5</v>
      </c>
      <c r="H200" s="75"/>
      <c r="I200" s="47"/>
      <c r="J200" s="47" t="s">
        <v>256</v>
      </c>
      <c r="K200" s="101">
        <v>180</v>
      </c>
      <c r="L200" s="164">
        <v>0.2</v>
      </c>
      <c r="M200" s="75"/>
    </row>
    <row r="201" spans="1:13" ht="15.75" thickBot="1" x14ac:dyDescent="0.3">
      <c r="A201" s="47"/>
      <c r="B201" s="47"/>
      <c r="C201" s="69"/>
      <c r="D201" s="69"/>
      <c r="E201" s="1"/>
      <c r="F201" s="161">
        <v>13215</v>
      </c>
      <c r="G201" s="165">
        <v>1.5</v>
      </c>
      <c r="H201" s="75"/>
      <c r="I201" s="47"/>
      <c r="J201" s="47" t="s">
        <v>246</v>
      </c>
      <c r="K201" s="203">
        <v>12000</v>
      </c>
      <c r="L201" s="164">
        <v>0.2</v>
      </c>
      <c r="M201" s="75"/>
    </row>
    <row r="202" spans="1:13" ht="16.5" thickTop="1" thickBot="1" x14ac:dyDescent="0.3">
      <c r="A202" s="47"/>
      <c r="B202" s="47"/>
      <c r="C202" s="69"/>
      <c r="D202" s="69"/>
      <c r="E202" s="72" t="s">
        <v>67</v>
      </c>
      <c r="F202" s="162">
        <v>334308</v>
      </c>
      <c r="G202" s="167">
        <v>17.5</v>
      </c>
      <c r="H202" s="75"/>
      <c r="I202" s="47"/>
      <c r="J202" s="47" t="s">
        <v>253</v>
      </c>
      <c r="K202" s="101">
        <v>960</v>
      </c>
      <c r="L202" s="164">
        <v>0.3</v>
      </c>
      <c r="M202" s="75"/>
    </row>
    <row r="203" spans="1:13" ht="15.75" thickTop="1" x14ac:dyDescent="0.25">
      <c r="A203" s="47"/>
      <c r="B203" s="47"/>
      <c r="C203" s="69"/>
      <c r="D203" s="69"/>
      <c r="E203" s="69"/>
      <c r="F203" s="69"/>
      <c r="G203" s="69"/>
      <c r="H203" s="75"/>
      <c r="I203" s="47"/>
      <c r="J203" s="4" t="s">
        <v>249</v>
      </c>
      <c r="K203" s="101">
        <v>75</v>
      </c>
      <c r="L203" s="163">
        <v>0.3</v>
      </c>
      <c r="M203" s="47"/>
    </row>
    <row r="204" spans="1:13" ht="19.5" thickBot="1" x14ac:dyDescent="0.35">
      <c r="A204" s="47"/>
      <c r="B204" s="47"/>
      <c r="C204" s="69"/>
      <c r="D204" s="69"/>
      <c r="E204" s="184" t="s">
        <v>78</v>
      </c>
      <c r="F204" s="185">
        <v>7.162617302995244</v>
      </c>
      <c r="G204" s="47"/>
      <c r="H204" s="75"/>
      <c r="I204" s="47"/>
      <c r="J204" s="47" t="s">
        <v>251</v>
      </c>
      <c r="K204" s="101">
        <v>3360</v>
      </c>
      <c r="L204" s="163">
        <v>1</v>
      </c>
      <c r="M204" s="47"/>
    </row>
    <row r="205" spans="1:13" ht="16.5" thickTop="1" x14ac:dyDescent="0.25">
      <c r="A205" s="47"/>
      <c r="B205" s="47"/>
      <c r="C205" s="69"/>
      <c r="D205" s="69"/>
      <c r="E205" s="186" t="s">
        <v>69</v>
      </c>
      <c r="F205" s="187">
        <v>66000</v>
      </c>
      <c r="G205" s="47"/>
      <c r="H205" s="69"/>
      <c r="I205" s="47"/>
      <c r="J205" s="4" t="s">
        <v>250</v>
      </c>
      <c r="K205" s="101">
        <v>5955</v>
      </c>
      <c r="L205" s="164">
        <v>2.5</v>
      </c>
      <c r="M205" s="75"/>
    </row>
    <row r="206" spans="1:13" ht="15.75" x14ac:dyDescent="0.25">
      <c r="A206" s="47"/>
      <c r="B206" s="47"/>
      <c r="C206" s="69"/>
      <c r="D206" s="69"/>
      <c r="E206" s="186" t="s">
        <v>70</v>
      </c>
      <c r="F206" s="187">
        <v>268308</v>
      </c>
      <c r="G206" s="47"/>
      <c r="H206" s="69"/>
      <c r="I206" s="47"/>
      <c r="J206" s="47"/>
      <c r="K206" s="160">
        <v>22530</v>
      </c>
      <c r="L206" s="166">
        <v>4.5</v>
      </c>
      <c r="M206" s="75"/>
    </row>
    <row r="207" spans="1:13" ht="19.5" thickBot="1" x14ac:dyDescent="0.35">
      <c r="A207" s="78"/>
      <c r="B207" s="78"/>
      <c r="C207" s="79"/>
      <c r="D207" s="79"/>
      <c r="E207" s="188" t="s">
        <v>75</v>
      </c>
      <c r="F207" s="189">
        <v>0.80257726407983054</v>
      </c>
      <c r="G207" s="47"/>
      <c r="H207" s="78"/>
      <c r="I207" s="78"/>
      <c r="J207" s="72" t="s">
        <v>67</v>
      </c>
      <c r="K207" s="162">
        <v>446250</v>
      </c>
      <c r="L207" s="167">
        <v>18</v>
      </c>
      <c r="M207" s="75"/>
    </row>
    <row r="208" spans="1:13" ht="16.5" thickTop="1" x14ac:dyDescent="0.25">
      <c r="A208" s="47"/>
      <c r="B208" s="47"/>
      <c r="C208" s="69"/>
      <c r="D208" s="69"/>
      <c r="E208" s="188" t="s">
        <v>76</v>
      </c>
      <c r="F208" s="189">
        <v>0.19742273592016946</v>
      </c>
      <c r="G208" s="47"/>
      <c r="H208" s="47"/>
      <c r="I208" s="47"/>
      <c r="J208" s="69"/>
      <c r="K208" s="69"/>
      <c r="L208" s="47"/>
      <c r="M208" s="75"/>
    </row>
    <row r="209" spans="1:13" ht="19.5" thickBot="1" x14ac:dyDescent="0.35">
      <c r="A209" s="47"/>
      <c r="B209" s="47"/>
      <c r="C209" s="69"/>
      <c r="D209" s="69"/>
      <c r="E209" s="47"/>
      <c r="F209" s="47"/>
      <c r="G209" s="47"/>
      <c r="H209" s="47"/>
      <c r="I209" s="47"/>
      <c r="J209" s="184" t="s">
        <v>135</v>
      </c>
      <c r="K209" s="185">
        <v>9.5609975575266741</v>
      </c>
      <c r="L209" s="47"/>
      <c r="M209" s="69"/>
    </row>
    <row r="210" spans="1:13" ht="20.25" thickTop="1" thickBot="1" x14ac:dyDescent="0.35">
      <c r="A210" s="47"/>
      <c r="B210" s="47"/>
      <c r="C210" s="69"/>
      <c r="D210" s="69"/>
      <c r="E210" s="47"/>
      <c r="F210" s="47"/>
      <c r="G210" s="47"/>
      <c r="H210" s="47"/>
      <c r="I210" s="47"/>
      <c r="J210" s="184" t="s">
        <v>134</v>
      </c>
      <c r="K210" s="185">
        <v>1.3348469076420546</v>
      </c>
      <c r="L210" s="47"/>
      <c r="M210" s="47"/>
    </row>
    <row r="211" spans="1:13" ht="16.5" thickTop="1" x14ac:dyDescent="0.25">
      <c r="A211" s="47"/>
      <c r="B211" s="47"/>
      <c r="C211" s="69"/>
      <c r="D211" s="69"/>
      <c r="E211" s="47"/>
      <c r="F211" s="47"/>
      <c r="G211" s="47"/>
      <c r="H211" s="47"/>
      <c r="I211" s="47"/>
      <c r="J211" s="186" t="s">
        <v>69</v>
      </c>
      <c r="K211" s="187">
        <v>66000</v>
      </c>
      <c r="L211" s="47"/>
      <c r="M211" s="69"/>
    </row>
    <row r="212" spans="1:13" ht="18.75" x14ac:dyDescent="0.3">
      <c r="A212" s="47"/>
      <c r="B212" s="47"/>
      <c r="C212" s="69"/>
      <c r="D212" s="69"/>
      <c r="E212" s="47"/>
      <c r="F212" s="47"/>
      <c r="G212" s="47"/>
      <c r="H212" s="47"/>
      <c r="I212" s="47"/>
      <c r="J212" s="186" t="s">
        <v>70</v>
      </c>
      <c r="K212" s="187">
        <v>380250</v>
      </c>
      <c r="L212" s="47"/>
      <c r="M212" s="78"/>
    </row>
    <row r="213" spans="1:13" ht="15.75" x14ac:dyDescent="0.25">
      <c r="A213" s="47"/>
      <c r="B213" s="47"/>
      <c r="C213" s="69"/>
      <c r="D213" s="69"/>
      <c r="E213" s="47"/>
      <c r="F213" s="47"/>
      <c r="G213" s="47"/>
      <c r="H213" s="47"/>
      <c r="I213" s="47"/>
      <c r="J213" s="188" t="s">
        <v>75</v>
      </c>
      <c r="K213" s="189">
        <v>0.85210084033613442</v>
      </c>
      <c r="L213" s="47"/>
      <c r="M213" s="47"/>
    </row>
    <row r="214" spans="1:13" ht="15.75" x14ac:dyDescent="0.25">
      <c r="A214" s="47"/>
      <c r="B214" s="47"/>
      <c r="C214" s="69"/>
      <c r="D214" s="69"/>
      <c r="E214" s="47"/>
      <c r="F214" s="47"/>
      <c r="G214" s="47"/>
      <c r="H214" s="47"/>
      <c r="I214" s="47"/>
      <c r="J214" s="188" t="s">
        <v>76</v>
      </c>
      <c r="K214" s="189">
        <v>0.14789915966386558</v>
      </c>
      <c r="L214" s="47"/>
      <c r="M214" s="4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showGridLines="0" tabSelected="1" zoomScale="115" zoomScaleNormal="115" workbookViewId="0">
      <selection activeCell="E2" sqref="E2:G13"/>
    </sheetView>
  </sheetViews>
  <sheetFormatPr defaultRowHeight="15" x14ac:dyDescent="0.25"/>
  <cols>
    <col min="1" max="1" width="53.28515625" bestFit="1" customWidth="1"/>
    <col min="2" max="2" width="13.42578125" bestFit="1" customWidth="1"/>
    <col min="3" max="3" width="6.42578125" bestFit="1" customWidth="1"/>
    <col min="5" max="5" width="53.28515625" bestFit="1" customWidth="1"/>
    <col min="6" max="6" width="13.42578125" bestFit="1" customWidth="1"/>
    <col min="7" max="7" width="6.42578125" bestFit="1" customWidth="1"/>
  </cols>
  <sheetData>
    <row r="1" spans="1:7" x14ac:dyDescent="0.25">
      <c r="A1" s="48" t="s">
        <v>272</v>
      </c>
      <c r="E1" s="48" t="s">
        <v>274</v>
      </c>
    </row>
    <row r="2" spans="1:7" x14ac:dyDescent="0.25">
      <c r="A2" s="190"/>
      <c r="B2" s="190" t="s">
        <v>194</v>
      </c>
      <c r="C2" s="190" t="s">
        <v>25</v>
      </c>
      <c r="E2" s="190"/>
      <c r="F2" s="190" t="s">
        <v>194</v>
      </c>
      <c r="G2" s="190" t="s">
        <v>25</v>
      </c>
    </row>
    <row r="3" spans="1:7" x14ac:dyDescent="0.25">
      <c r="A3" s="191" t="s">
        <v>262</v>
      </c>
      <c r="B3" s="191"/>
      <c r="C3" s="191"/>
      <c r="E3" s="191" t="s">
        <v>262</v>
      </c>
      <c r="F3" s="191"/>
      <c r="G3" s="191"/>
    </row>
    <row r="4" spans="1:7" x14ac:dyDescent="0.25">
      <c r="A4" s="192" t="s">
        <v>263</v>
      </c>
      <c r="B4" s="193">
        <f>'SHEET E'!B17</f>
        <v>46674</v>
      </c>
      <c r="C4" s="192">
        <v>17</v>
      </c>
      <c r="E4" s="192" t="s">
        <v>263</v>
      </c>
      <c r="F4" s="193">
        <v>46674</v>
      </c>
      <c r="G4" s="192">
        <v>17</v>
      </c>
    </row>
    <row r="5" spans="1:7" x14ac:dyDescent="0.25">
      <c r="A5" s="192" t="s">
        <v>264</v>
      </c>
      <c r="B5" s="193">
        <f>'SHEET E'!F40</f>
        <v>532308</v>
      </c>
      <c r="C5" s="192">
        <v>17.5</v>
      </c>
      <c r="E5" s="192" t="s">
        <v>264</v>
      </c>
      <c r="F5" s="193">
        <v>400308</v>
      </c>
      <c r="G5" s="192">
        <v>17.5</v>
      </c>
    </row>
    <row r="6" spans="1:7" x14ac:dyDescent="0.25">
      <c r="A6" s="194" t="s">
        <v>265</v>
      </c>
      <c r="B6" s="195">
        <f>'SHEET E'!F45</f>
        <v>0.50404652945287309</v>
      </c>
      <c r="C6" s="192"/>
      <c r="E6" s="194" t="s">
        <v>265</v>
      </c>
      <c r="F6" s="195">
        <v>0.67025390449353994</v>
      </c>
      <c r="G6" s="192"/>
    </row>
    <row r="7" spans="1:7" x14ac:dyDescent="0.25">
      <c r="A7" s="194" t="s">
        <v>266</v>
      </c>
      <c r="B7" s="195">
        <f>'SHEET E'!F46</f>
        <v>0.49595347054712691</v>
      </c>
      <c r="C7" s="192"/>
      <c r="E7" s="194" t="s">
        <v>266</v>
      </c>
      <c r="F7" s="195">
        <v>0.32974609550646006</v>
      </c>
      <c r="G7" s="192"/>
    </row>
    <row r="8" spans="1:7" x14ac:dyDescent="0.25">
      <c r="A8" s="192" t="s">
        <v>267</v>
      </c>
      <c r="B8" s="193">
        <f>'SHEET E'!K45</f>
        <v>642558</v>
      </c>
      <c r="C8" s="192">
        <v>18</v>
      </c>
      <c r="E8" s="192" t="s">
        <v>267</v>
      </c>
      <c r="F8" s="193">
        <v>512250</v>
      </c>
      <c r="G8" s="192">
        <v>18</v>
      </c>
    </row>
    <row r="9" spans="1:7" x14ac:dyDescent="0.25">
      <c r="A9" s="194" t="s">
        <v>265</v>
      </c>
      <c r="B9" s="195">
        <f>'SHEET E'!K51</f>
        <v>0.59022118742724095</v>
      </c>
      <c r="C9" s="196"/>
      <c r="E9" s="194" t="s">
        <v>265</v>
      </c>
      <c r="F9" s="195">
        <v>0.74231332357247437</v>
      </c>
      <c r="G9" s="196"/>
    </row>
    <row r="10" spans="1:7" x14ac:dyDescent="0.25">
      <c r="A10" s="194" t="s">
        <v>266</v>
      </c>
      <c r="B10" s="195">
        <f>'SHEET E'!K52</f>
        <v>0.40977881257275905</v>
      </c>
      <c r="C10" s="196"/>
      <c r="E10" s="194" t="s">
        <v>266</v>
      </c>
      <c r="F10" s="195">
        <v>0.25768667642752563</v>
      </c>
      <c r="G10" s="196"/>
    </row>
    <row r="11" spans="1:7" x14ac:dyDescent="0.25">
      <c r="A11" s="197" t="s">
        <v>268</v>
      </c>
      <c r="B11" s="198">
        <f>B5/B4</f>
        <v>11.404807815914642</v>
      </c>
      <c r="C11" s="196"/>
      <c r="E11" s="197" t="s">
        <v>268</v>
      </c>
      <c r="F11" s="198">
        <v>8.5766808073017096</v>
      </c>
      <c r="G11" s="196"/>
    </row>
    <row r="12" spans="1:7" x14ac:dyDescent="0.25">
      <c r="A12" s="197" t="s">
        <v>269</v>
      </c>
      <c r="B12" s="198">
        <f>B8/B4</f>
        <v>13.766936624244762</v>
      </c>
      <c r="C12" s="196"/>
      <c r="E12" s="197" t="s">
        <v>269</v>
      </c>
      <c r="F12" s="198">
        <v>10.97506106183314</v>
      </c>
      <c r="G12" s="196"/>
    </row>
    <row r="13" spans="1:7" x14ac:dyDescent="0.25">
      <c r="A13" s="201" t="s">
        <v>270</v>
      </c>
      <c r="B13" s="200">
        <f>B8/B5</f>
        <v>1.2071169323023512</v>
      </c>
      <c r="C13" s="199"/>
      <c r="E13" s="201" t="s">
        <v>270</v>
      </c>
      <c r="F13" s="200">
        <v>1.2796396774483647</v>
      </c>
      <c r="G13" s="199"/>
    </row>
    <row r="14" spans="1:7" x14ac:dyDescent="0.25">
      <c r="A14" s="197"/>
      <c r="B14" s="198"/>
      <c r="C14" s="196"/>
      <c r="E14" s="197"/>
      <c r="F14" s="198"/>
      <c r="G14" s="196"/>
    </row>
    <row r="15" spans="1:7" x14ac:dyDescent="0.25">
      <c r="A15" s="197"/>
      <c r="B15" s="198"/>
      <c r="C15" s="196"/>
      <c r="E15" s="197"/>
      <c r="F15" s="198"/>
      <c r="G15" s="196"/>
    </row>
    <row r="16" spans="1:7" x14ac:dyDescent="0.25">
      <c r="A16" s="197"/>
      <c r="B16" s="198"/>
      <c r="C16" s="196"/>
      <c r="E16" s="197"/>
      <c r="F16" s="198"/>
      <c r="G16" s="196"/>
    </row>
    <row r="17" spans="1:7" x14ac:dyDescent="0.25">
      <c r="A17" s="48" t="s">
        <v>275</v>
      </c>
      <c r="E17" s="48" t="s">
        <v>273</v>
      </c>
    </row>
    <row r="18" spans="1:7" x14ac:dyDescent="0.25">
      <c r="A18" s="190"/>
      <c r="B18" s="190" t="s">
        <v>194</v>
      </c>
      <c r="C18" s="190" t="s">
        <v>25</v>
      </c>
      <c r="E18" s="190"/>
      <c r="F18" s="190" t="s">
        <v>194</v>
      </c>
      <c r="G18" s="190" t="s">
        <v>25</v>
      </c>
    </row>
    <row r="19" spans="1:7" x14ac:dyDescent="0.25">
      <c r="A19" s="191" t="s">
        <v>262</v>
      </c>
      <c r="B19" s="191"/>
      <c r="C19" s="191"/>
      <c r="E19" s="191" t="s">
        <v>262</v>
      </c>
      <c r="F19" s="191"/>
      <c r="G19" s="191"/>
    </row>
    <row r="20" spans="1:7" x14ac:dyDescent="0.25">
      <c r="A20" s="192" t="s">
        <v>263</v>
      </c>
      <c r="B20" s="193">
        <v>46674</v>
      </c>
      <c r="C20" s="192">
        <v>17</v>
      </c>
      <c r="E20" s="192" t="s">
        <v>263</v>
      </c>
      <c r="F20" s="193">
        <v>46674</v>
      </c>
      <c r="G20" s="192">
        <v>17</v>
      </c>
    </row>
    <row r="21" spans="1:7" x14ac:dyDescent="0.25">
      <c r="A21" s="192" t="s">
        <v>264</v>
      </c>
      <c r="B21" s="193">
        <v>466308</v>
      </c>
      <c r="C21" s="192">
        <v>17.5</v>
      </c>
      <c r="E21" s="192" t="s">
        <v>264</v>
      </c>
      <c r="F21" s="193">
        <v>334308</v>
      </c>
      <c r="G21" s="192">
        <v>17.5</v>
      </c>
    </row>
    <row r="22" spans="1:7" x14ac:dyDescent="0.25">
      <c r="A22" s="194" t="s">
        <v>265</v>
      </c>
      <c r="B22" s="195">
        <v>0.57538794101752488</v>
      </c>
      <c r="C22" s="192"/>
      <c r="E22" s="194" t="s">
        <v>265</v>
      </c>
      <c r="F22" s="195">
        <v>0.80257726407983054</v>
      </c>
      <c r="G22" s="192"/>
    </row>
    <row r="23" spans="1:7" x14ac:dyDescent="0.25">
      <c r="A23" s="194" t="s">
        <v>266</v>
      </c>
      <c r="B23" s="195">
        <v>0.42461205898247512</v>
      </c>
      <c r="C23" s="192"/>
      <c r="E23" s="194" t="s">
        <v>266</v>
      </c>
      <c r="F23" s="195">
        <v>0.19742273592016946</v>
      </c>
      <c r="G23" s="192"/>
    </row>
    <row r="24" spans="1:7" x14ac:dyDescent="0.25">
      <c r="A24" s="192" t="s">
        <v>267</v>
      </c>
      <c r="B24" s="193">
        <v>578250</v>
      </c>
      <c r="C24" s="192">
        <v>18</v>
      </c>
      <c r="E24" s="192" t="s">
        <v>267</v>
      </c>
      <c r="F24" s="193">
        <v>446250</v>
      </c>
      <c r="G24" s="192">
        <v>18</v>
      </c>
    </row>
    <row r="25" spans="1:7" x14ac:dyDescent="0.25">
      <c r="A25" s="194" t="s">
        <v>265</v>
      </c>
      <c r="B25" s="195">
        <v>0.65758754863813229</v>
      </c>
      <c r="C25" s="196"/>
      <c r="E25" s="194" t="s">
        <v>265</v>
      </c>
      <c r="F25" s="195">
        <v>0.85210084033613442</v>
      </c>
      <c r="G25" s="196"/>
    </row>
    <row r="26" spans="1:7" x14ac:dyDescent="0.25">
      <c r="A26" s="194" t="s">
        <v>266</v>
      </c>
      <c r="B26" s="195">
        <v>0.34241245136186771</v>
      </c>
      <c r="C26" s="196"/>
      <c r="E26" s="194" t="s">
        <v>266</v>
      </c>
      <c r="F26" s="195">
        <v>0.14789915966386558</v>
      </c>
      <c r="G26" s="196"/>
    </row>
    <row r="27" spans="1:7" x14ac:dyDescent="0.25">
      <c r="A27" s="197" t="s">
        <v>268</v>
      </c>
      <c r="B27" s="198">
        <v>9.9907443116081751</v>
      </c>
      <c r="C27" s="196"/>
      <c r="E27" s="197" t="s">
        <v>268</v>
      </c>
      <c r="F27" s="198">
        <v>7.162617302995244</v>
      </c>
      <c r="G27" s="196"/>
    </row>
    <row r="28" spans="1:7" x14ac:dyDescent="0.25">
      <c r="A28" s="197" t="s">
        <v>269</v>
      </c>
      <c r="B28" s="198">
        <v>12.389124566139607</v>
      </c>
      <c r="C28" s="196"/>
      <c r="E28" s="197" t="s">
        <v>269</v>
      </c>
      <c r="F28" s="198">
        <v>9.5609975575266741</v>
      </c>
      <c r="G28" s="196"/>
    </row>
    <row r="29" spans="1:7" x14ac:dyDescent="0.25">
      <c r="A29" s="201" t="s">
        <v>270</v>
      </c>
      <c r="B29" s="200">
        <v>1.2400602177101829</v>
      </c>
      <c r="C29" s="199"/>
      <c r="E29" s="201" t="s">
        <v>270</v>
      </c>
      <c r="F29" s="200">
        <v>1.3348469076420546</v>
      </c>
      <c r="G29" s="199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LEGENDS</vt:lpstr>
      <vt:lpstr>SHEET A</vt:lpstr>
      <vt:lpstr>SHEET B</vt:lpstr>
      <vt:lpstr>SHEET C</vt:lpstr>
      <vt:lpstr>SHEET D</vt:lpstr>
      <vt:lpstr>SHEET E</vt:lpstr>
      <vt:lpstr>SHEET F</vt:lpstr>
      <vt:lpstr>'SHEET 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2022-06-21T04:11:29Z</dcterms:modified>
</cp:coreProperties>
</file>