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stprint articles\2020\"/>
    </mc:Choice>
  </mc:AlternateContent>
  <xr:revisionPtr revIDLastSave="0" documentId="8_{F80AAA8F-E973-4CD7-9D63-8BDD609FE23E}" xr6:coauthVersionLast="36" xr6:coauthVersionMax="36" xr10:uidLastSave="{00000000-0000-0000-0000-000000000000}"/>
  <bookViews>
    <workbookView xWindow="-105" yWindow="-105" windowWidth="23250" windowHeight="12570" activeTab="7" xr2:uid="{00000000-000D-0000-FFFF-FFFF00000000}"/>
  </bookViews>
  <sheets>
    <sheet name="Training" sheetId="1" r:id="rId1"/>
    <sheet name="Salaries Baseline" sheetId="2" r:id="rId2"/>
    <sheet name="Herbicides" sheetId="3" r:id="rId3"/>
    <sheet name="Equipment" sheetId="4" r:id="rId4"/>
    <sheet name="Teams" sheetId="5" r:id="rId5"/>
    <sheet name="Area Cleared" sheetId="8" r:id="rId6"/>
    <sheet name="TOTALS" sheetId="6" r:id="rId7"/>
    <sheet name="SUMMARY TOTAL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6" i="6" l="1"/>
  <c r="B41" i="6"/>
  <c r="B11" i="7"/>
  <c r="B11" i="5"/>
  <c r="B3" i="7" l="1"/>
  <c r="E9" i="8"/>
  <c r="E10" i="8" l="1"/>
  <c r="E8" i="8"/>
  <c r="E7" i="8"/>
  <c r="E6" i="8"/>
  <c r="E5" i="8"/>
  <c r="E4" i="8"/>
  <c r="E3" i="8"/>
  <c r="E2" i="8"/>
  <c r="E11" i="8" s="1"/>
  <c r="B8" i="7" l="1"/>
  <c r="C8" i="7" s="1"/>
  <c r="D8" i="7" s="1"/>
  <c r="C38" i="6"/>
  <c r="B10" i="7" s="1"/>
  <c r="C10" i="7" s="1"/>
  <c r="D10" i="7" s="1"/>
  <c r="C36" i="6"/>
  <c r="B9" i="7" s="1"/>
  <c r="C9" i="7" s="1"/>
  <c r="D9" i="7" s="1"/>
  <c r="C34" i="6"/>
  <c r="C31" i="6" l="1"/>
  <c r="B7" i="7" s="1"/>
  <c r="C7" i="7" s="1"/>
  <c r="D7" i="7" s="1"/>
  <c r="C30" i="6"/>
  <c r="E16" i="6"/>
  <c r="E17" i="6"/>
  <c r="E18" i="6"/>
  <c r="E19" i="6"/>
  <c r="E20" i="6"/>
  <c r="E21" i="6"/>
  <c r="E15" i="6"/>
  <c r="E22" i="6" s="1"/>
  <c r="E23" i="6" s="1"/>
  <c r="B6" i="7" s="1"/>
  <c r="E4" i="6"/>
  <c r="E5" i="6"/>
  <c r="E6" i="6"/>
  <c r="E3" i="6"/>
  <c r="E8" i="6" s="1"/>
  <c r="B13" i="7" s="1"/>
  <c r="C13" i="7" s="1"/>
  <c r="D13" i="7" s="1"/>
  <c r="C6" i="7" l="1"/>
  <c r="B14" i="7"/>
  <c r="B42" i="6"/>
  <c r="B49" i="6" s="1"/>
  <c r="B37" i="4"/>
  <c r="B34" i="4"/>
  <c r="B26" i="4"/>
  <c r="B13" i="4"/>
  <c r="B14" i="4" s="1"/>
  <c r="B15" i="4" s="1"/>
  <c r="B6" i="4"/>
  <c r="B7" i="4" s="1"/>
  <c r="B38" i="4" l="1"/>
  <c r="C14" i="7"/>
  <c r="C11" i="7"/>
  <c r="D6" i="7"/>
  <c r="B18" i="4"/>
  <c r="B41" i="4" s="1"/>
  <c r="D11" i="7" l="1"/>
  <c r="D14" i="7"/>
</calcChain>
</file>

<file path=xl/sharedStrings.xml><?xml version="1.0" encoding="utf-8"?>
<sst xmlns="http://schemas.openxmlformats.org/spreadsheetml/2006/main" count="142" uniqueCount="115">
  <si>
    <t xml:space="preserve">Training needs: new cycle every year for training in all skills, incl: herbicide application, chain saw operators, First Aid and Health &amp; Safety, and Fire Fighting (Conservation areas): </t>
  </si>
  <si>
    <t>herbicide application</t>
  </si>
  <si>
    <t>chain saw operator</t>
  </si>
  <si>
    <t>First Aid</t>
  </si>
  <si>
    <t>Health &amp; Safety</t>
  </si>
  <si>
    <t>Fire Fighting (Conservation areas)</t>
  </si>
  <si>
    <t>Supervisor</t>
  </si>
  <si>
    <t>Team leader</t>
  </si>
  <si>
    <t>Chain saw</t>
  </si>
  <si>
    <t>Herbicide/First Aid/ H&amp;S REP</t>
  </si>
  <si>
    <t>General Worker</t>
  </si>
  <si>
    <t>Gladiator</t>
  </si>
  <si>
    <t>Confront</t>
  </si>
  <si>
    <t>5 liters per site per week estimated</t>
  </si>
  <si>
    <t>Number</t>
  </si>
  <si>
    <t>Cost per day</t>
  </si>
  <si>
    <t>Vehicles</t>
  </si>
  <si>
    <t>Total</t>
  </si>
  <si>
    <t>Protective clothing per year per team</t>
  </si>
  <si>
    <t>Replacing items per month</t>
  </si>
  <si>
    <t>Office admin per month (consumables, copies, scanning, maps, etc)</t>
  </si>
  <si>
    <t>Cost per unit</t>
  </si>
  <si>
    <t>Chain saws</t>
  </si>
  <si>
    <t>Maintenance:</t>
  </si>
  <si>
    <t>Total per year for 4 units</t>
  </si>
  <si>
    <t>Total per year per unit</t>
  </si>
  <si>
    <t>Maintenance Subtotal (x4 application per month per unit)</t>
  </si>
  <si>
    <t>Maintenance Subtotal per month 4 units</t>
  </si>
  <si>
    <t>Maintenance Subtotal per year 4 units</t>
  </si>
  <si>
    <t>Guide bars per unit</t>
  </si>
  <si>
    <t>Chains per unit</t>
  </si>
  <si>
    <t>Chain Lube oil per unit</t>
  </si>
  <si>
    <t>Fuel per month per unit</t>
  </si>
  <si>
    <t>Maintenance &amp; service per year per unit</t>
  </si>
  <si>
    <r>
      <t xml:space="preserve">Petrol per week per unit (@ </t>
    </r>
    <r>
      <rPr>
        <sz val="12"/>
        <color theme="1"/>
        <rFont val="Calibri"/>
        <family val="2"/>
        <scheme val="minor"/>
      </rPr>
      <t>±40 L)</t>
    </r>
  </si>
  <si>
    <t>Miscellaneous</t>
  </si>
  <si>
    <t>Replacing items per year</t>
  </si>
  <si>
    <t>Office admin per year (consumables, copies, scanning, maps, etc)</t>
  </si>
  <si>
    <t>Grand Total per year</t>
  </si>
  <si>
    <t>Lumberjack/Timbrel</t>
  </si>
  <si>
    <t>Liters</t>
  </si>
  <si>
    <t>Cost</t>
  </si>
  <si>
    <t>Daily Salaries</t>
  </si>
  <si>
    <t>Herbicide</t>
  </si>
  <si>
    <t>Health &amp; Safety Rep</t>
  </si>
  <si>
    <t>Herbicide (5 liters per site per week estimated)</t>
  </si>
  <si>
    <t>Once off training annually</t>
  </si>
  <si>
    <t>Members Per Team</t>
  </si>
  <si>
    <t>Once Off Annual Costs</t>
  </si>
  <si>
    <t>Running Costs</t>
  </si>
  <si>
    <t>Rate</t>
  </si>
  <si>
    <t>Total per month</t>
  </si>
  <si>
    <t>Total per day</t>
  </si>
  <si>
    <t>Total per week</t>
  </si>
  <si>
    <t>Equipment (2 chainsaws per month)</t>
  </si>
  <si>
    <t>Vehicles (2 per month)</t>
  </si>
  <si>
    <t>Miscellaneous (per month)</t>
  </si>
  <si>
    <t>Total Monthly Cost (Annual Once Off Excluded)</t>
  </si>
  <si>
    <t>Total Monthly Cost (Annual Once Off Included)</t>
  </si>
  <si>
    <t>Average Monthly Hectares</t>
  </si>
  <si>
    <t>Cost per hectare per month</t>
  </si>
  <si>
    <t>Costs Calculated per month</t>
  </si>
  <si>
    <t>Total Monthly Cost (Annual Training Excluded)</t>
  </si>
  <si>
    <t>Total Monthly Cost (Annual Training Included)</t>
  </si>
  <si>
    <t>Total Average Monthly Hectares Cleared</t>
  </si>
  <si>
    <t>Rounded/Hectare</t>
  </si>
  <si>
    <t>Filename</t>
  </si>
  <si>
    <t>Year</t>
  </si>
  <si>
    <t>Month</t>
  </si>
  <si>
    <t>SquareMeters</t>
  </si>
  <si>
    <t>Hectares</t>
  </si>
  <si>
    <t>Dwarsrivier_Initial_Clearing_August_2018.kml</t>
  </si>
  <si>
    <t>Aug</t>
  </si>
  <si>
    <t>Dwarsrivier_Inital_Clearing_Sept_2018.kml</t>
  </si>
  <si>
    <t>Sep</t>
  </si>
  <si>
    <t>Initial_Clearing_Kylemore_October_2018.kml</t>
  </si>
  <si>
    <t>Oct</t>
  </si>
  <si>
    <t>Dwarsrivier_Initial_clearing_Nove_2018.kml</t>
  </si>
  <si>
    <t>Nov</t>
  </si>
  <si>
    <t>Dwarsrivier_Initial_clearing_Dec_2018.kml</t>
  </si>
  <si>
    <t>Dec</t>
  </si>
  <si>
    <t>Dwarsrivier_Initial_clearing_Jan_2019.kml</t>
  </si>
  <si>
    <t>Jan</t>
  </si>
  <si>
    <t>Dwarsrivier_Initial Clearing _February_2019.kml</t>
  </si>
  <si>
    <t>Feb</t>
  </si>
  <si>
    <t>Dwarsriver_Initial_clearing_April_2019.kml</t>
  </si>
  <si>
    <t>Apr</t>
  </si>
  <si>
    <t>Picloram 80 g/l, Fluroxypur 80 g/l</t>
  </si>
  <si>
    <t>Triclopyr 270 g/l, Clopyralid 90 g/l</t>
  </si>
  <si>
    <t>Triclopyr 360 g/L</t>
  </si>
  <si>
    <t>Active Ingredients</t>
  </si>
  <si>
    <t>Cost/Hectare</t>
  </si>
  <si>
    <t>Description</t>
  </si>
  <si>
    <t>Vehicles (maintenance, fuel etc.)</t>
  </si>
  <si>
    <t>Equipment (chainsaw maintenance, fuel etc.)</t>
  </si>
  <si>
    <t>Once off annual training</t>
  </si>
  <si>
    <t>Miscellaneous (protective clothing, office supplies)</t>
  </si>
  <si>
    <t>Team Salaries</t>
  </si>
  <si>
    <t>Wildlands national report: total average salaries</t>
  </si>
  <si>
    <t xml:space="preserve">Cost per person day:  </t>
  </si>
  <si>
    <t>R216.09</t>
  </si>
  <si>
    <t xml:space="preserve">Dwars River team (x12 = R2593.08) </t>
  </si>
  <si>
    <t>x 21 person days/month</t>
  </si>
  <si>
    <t>R2,593.08</t>
  </si>
  <si>
    <t>R54,454.68</t>
  </si>
  <si>
    <t>Mar</t>
  </si>
  <si>
    <t>Blaauwklippen River_Initia_Clearing_March_2019.kml</t>
  </si>
  <si>
    <t>Cost*</t>
  </si>
  <si>
    <t>*Cost estimates obtained October 2019</t>
  </si>
  <si>
    <t>Chain saw operator</t>
  </si>
  <si>
    <t>Herbicide application</t>
  </si>
  <si>
    <t>And effective team consists of ± 12 workers</t>
  </si>
  <si>
    <t>Chain saw operators</t>
  </si>
  <si>
    <t>Herbicide applicators</t>
  </si>
  <si>
    <t>Nr of workers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</si>
</sst>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R&quot;#,##0.00;[Red]\-&quot;R&quot;#,##0.00"/>
    <numFmt numFmtId="44" formatCode="_-&quot;R&quot;* #,##0.00_-;\-&quot;R&quot;* #,##0.00_-;_-&quot;R&quot;* &quot;-&quot;??_-;_-@_-"/>
    <numFmt numFmtId="164" formatCode="_-[$R-1C09]* #,##0.00_-;\-[$R-1C09]* #,##0.00_-;_-[$R-1C09]* &quot;-&quot;??_-;_-@_-"/>
    <numFmt numFmtId="165" formatCode="0.0000"/>
    <numFmt numFmtId="166" formatCode="0.000"/>
  </numFmts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2" fillId="0" borderId="0"/>
  </cellStyleXfs>
  <cellXfs count="40">
    <xf numFmtId="0" fontId="0" fillId="0" borderId="0" xfId="0"/>
    <xf numFmtId="0" fontId="4" fillId="0" borderId="0" xfId="0" applyFont="1"/>
    <xf numFmtId="8" fontId="0" fillId="0" borderId="0" xfId="0" applyNumberFormat="1"/>
    <xf numFmtId="0" fontId="4" fillId="0" borderId="0" xfId="0" applyFont="1" applyAlignment="1">
      <alignment wrapText="1"/>
    </xf>
    <xf numFmtId="44" fontId="0" fillId="0" borderId="0" xfId="1" applyFont="1"/>
    <xf numFmtId="44" fontId="5" fillId="0" borderId="0" xfId="1" applyFont="1"/>
    <xf numFmtId="0" fontId="5" fillId="0" borderId="0" xfId="0" applyFont="1"/>
    <xf numFmtId="0" fontId="5" fillId="0" borderId="1" xfId="0" applyFont="1" applyBorder="1"/>
    <xf numFmtId="44" fontId="5" fillId="0" borderId="1" xfId="1" applyFont="1" applyBorder="1"/>
    <xf numFmtId="0" fontId="0" fillId="0" borderId="0" xfId="0" applyFont="1"/>
    <xf numFmtId="44" fontId="5" fillId="0" borderId="1" xfId="0" applyNumberFormat="1" applyFont="1" applyBorder="1"/>
    <xf numFmtId="0" fontId="0" fillId="0" borderId="2" xfId="0" applyFont="1" applyBorder="1"/>
    <xf numFmtId="0" fontId="5" fillId="0" borderId="2" xfId="0" applyFont="1" applyBorder="1"/>
    <xf numFmtId="0" fontId="0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44" fontId="6" fillId="0" borderId="0" xfId="0" applyNumberFormat="1" applyFont="1"/>
    <xf numFmtId="0" fontId="4" fillId="0" borderId="2" xfId="0" applyFont="1" applyBorder="1"/>
    <xf numFmtId="8" fontId="0" fillId="0" borderId="2" xfId="0" applyNumberFormat="1" applyFont="1" applyBorder="1"/>
    <xf numFmtId="8" fontId="5" fillId="0" borderId="0" xfId="0" applyNumberFormat="1" applyFont="1"/>
    <xf numFmtId="44" fontId="5" fillId="0" borderId="0" xfId="0" applyNumberFormat="1" applyFont="1"/>
    <xf numFmtId="164" fontId="5" fillId="0" borderId="0" xfId="0" applyNumberFormat="1" applyFont="1"/>
    <xf numFmtId="0" fontId="2" fillId="0" borderId="0" xfId="2"/>
    <xf numFmtId="14" fontId="2" fillId="0" borderId="0" xfId="2" applyNumberFormat="1"/>
    <xf numFmtId="14" fontId="1" fillId="0" borderId="0" xfId="2" applyNumberFormat="1" applyFont="1"/>
    <xf numFmtId="0" fontId="1" fillId="0" borderId="0" xfId="2" applyFont="1"/>
    <xf numFmtId="0" fontId="0" fillId="0" borderId="0" xfId="0" applyFill="1"/>
    <xf numFmtId="165" fontId="5" fillId="0" borderId="0" xfId="0" applyNumberFormat="1" applyFont="1" applyFill="1"/>
    <xf numFmtId="44" fontId="0" fillId="0" borderId="0" xfId="1" applyFont="1" applyFill="1"/>
    <xf numFmtId="0" fontId="0" fillId="0" borderId="0" xfId="0" applyFont="1" applyFill="1"/>
    <xf numFmtId="0" fontId="5" fillId="0" borderId="0" xfId="0" applyFont="1" applyFill="1"/>
    <xf numFmtId="44" fontId="5" fillId="0" borderId="0" xfId="1" applyFont="1" applyFill="1"/>
    <xf numFmtId="0" fontId="0" fillId="0" borderId="2" xfId="0" applyBorder="1"/>
    <xf numFmtId="0" fontId="5" fillId="0" borderId="1" xfId="0" applyFont="1" applyBorder="1" applyAlignment="1">
      <alignment horizontal="right"/>
    </xf>
    <xf numFmtId="0" fontId="7" fillId="0" borderId="1" xfId="2" applyFont="1" applyBorder="1"/>
    <xf numFmtId="0" fontId="2" fillId="0" borderId="1" xfId="2" applyBorder="1"/>
    <xf numFmtId="0" fontId="7" fillId="0" borderId="2" xfId="2" applyFont="1" applyBorder="1"/>
    <xf numFmtId="14" fontId="7" fillId="0" borderId="2" xfId="2" applyNumberFormat="1" applyFont="1" applyBorder="1"/>
    <xf numFmtId="166" fontId="5" fillId="0" borderId="0" xfId="0" applyNumberFormat="1" applyFont="1"/>
  </cellXfs>
  <cellStyles count="3">
    <cellStyle name="Currency" xfId="1" builtinId="4"/>
    <cellStyle name="Normal" xfId="0" builtinId="0" customBuiltin="1"/>
    <cellStyle name="Normal 2" xfId="2" xr:uid="{00000000-0005-0000-0000-000002000000}"/>
  </cellStyles>
  <dxfs count="7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19" formatCode="yyyy/mm/dd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font>
        <b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11" totalsRowCount="1" headerRowDxfId="6" headerRowBorderDxfId="5" totalsRowBorderDxfId="4">
  <autoFilter ref="A1:E10" xr:uid="{00000000-0009-0000-0100-000001000000}"/>
  <sortState ref="A2:D10">
    <sortCondition ref="B2:B10"/>
    <sortCondition ref="C2:C10" customList="Jan,Feb,Mar,Apr,May,Jun,Jul,Aug,Sep,Oct,Nov,Dec"/>
  </sortState>
  <tableColumns count="5">
    <tableColumn id="1" xr3:uid="{00000000-0010-0000-0000-000001000000}" name="Filename" totalsRowLabel="Total" totalsRowDxfId="3" totalsRowCellStyle="Normal 2"/>
    <tableColumn id="3" xr3:uid="{00000000-0010-0000-0000-000003000000}" name="Year" totalsRowCellStyle="Normal 2"/>
    <tableColumn id="4" xr3:uid="{00000000-0010-0000-0000-000004000000}" name="Month" dataDxfId="2" totalsRowCellStyle="Normal 2"/>
    <tableColumn id="2" xr3:uid="{00000000-0010-0000-0000-000002000000}" name="SquareMeters" totalsRowCellStyle="Normal 2"/>
    <tableColumn id="5" xr3:uid="{00000000-0010-0000-0000-000005000000}" name="Hectares" totalsRowFunction="sum" dataDxfId="1" totalsRowDxfId="0" totalsRowCellStyle="Normal 2">
      <calculatedColumnFormula>Table1[[#This Row],[SquareMeters]]/10000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"/>
  <sheetViews>
    <sheetView zoomScaleNormal="100" workbookViewId="0">
      <selection activeCell="A9" sqref="A9"/>
    </sheetView>
  </sheetViews>
  <sheetFormatPr defaultRowHeight="15.75" x14ac:dyDescent="0.25"/>
  <cols>
    <col min="1" max="1" width="41.75" customWidth="1"/>
    <col min="2" max="2" width="13.75" customWidth="1"/>
  </cols>
  <sheetData>
    <row r="1" spans="1:2" ht="60" customHeight="1" x14ac:dyDescent="0.25">
      <c r="A1" s="3" t="s">
        <v>0</v>
      </c>
    </row>
    <row r="2" spans="1:2" ht="24" customHeight="1" x14ac:dyDescent="0.25"/>
    <row r="3" spans="1:2" x14ac:dyDescent="0.25">
      <c r="A3" s="1" t="s">
        <v>109</v>
      </c>
      <c r="B3" s="2">
        <v>9100</v>
      </c>
    </row>
    <row r="4" spans="1:2" x14ac:dyDescent="0.25">
      <c r="A4" s="1" t="s">
        <v>110</v>
      </c>
      <c r="B4" s="2">
        <v>13600</v>
      </c>
    </row>
    <row r="5" spans="1:2" x14ac:dyDescent="0.25">
      <c r="A5" s="1" t="s">
        <v>3</v>
      </c>
      <c r="B5" s="2">
        <v>9900</v>
      </c>
    </row>
    <row r="6" spans="1:2" x14ac:dyDescent="0.25">
      <c r="A6" s="1" t="s">
        <v>4</v>
      </c>
      <c r="B6" s="2">
        <v>8600</v>
      </c>
    </row>
    <row r="7" spans="1:2" x14ac:dyDescent="0.25">
      <c r="A7" s="1" t="s">
        <v>5</v>
      </c>
      <c r="B7" s="2">
        <v>35200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11" sqref="B11"/>
    </sheetView>
  </sheetViews>
  <sheetFormatPr defaultRowHeight="15.75" x14ac:dyDescent="0.25"/>
  <cols>
    <col min="1" max="1" width="29.25" customWidth="1"/>
    <col min="2" max="2" width="11.375" bestFit="1" customWidth="1"/>
  </cols>
  <sheetData>
    <row r="1" spans="1:2" x14ac:dyDescent="0.25">
      <c r="B1" t="s">
        <v>15</v>
      </c>
    </row>
    <row r="2" spans="1:2" x14ac:dyDescent="0.25">
      <c r="A2" s="1" t="s">
        <v>6</v>
      </c>
      <c r="B2" s="2">
        <v>358.15</v>
      </c>
    </row>
    <row r="3" spans="1:2" x14ac:dyDescent="0.25">
      <c r="A3" s="1" t="s">
        <v>7</v>
      </c>
      <c r="B3" s="2">
        <v>209.05</v>
      </c>
    </row>
    <row r="4" spans="1:2" x14ac:dyDescent="0.25">
      <c r="A4" s="1" t="s">
        <v>8</v>
      </c>
      <c r="B4" s="2">
        <v>146.35</v>
      </c>
    </row>
    <row r="5" spans="1:2" x14ac:dyDescent="0.25">
      <c r="A5" s="1" t="s">
        <v>9</v>
      </c>
      <c r="B5" s="2">
        <v>123.5</v>
      </c>
    </row>
    <row r="6" spans="1:2" x14ac:dyDescent="0.25">
      <c r="A6" s="1" t="s">
        <v>10</v>
      </c>
      <c r="B6" s="2">
        <v>116.7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9"/>
  <sheetViews>
    <sheetView zoomScaleNormal="100" workbookViewId="0">
      <selection activeCell="B13" sqref="B13"/>
    </sheetView>
  </sheetViews>
  <sheetFormatPr defaultRowHeight="15.75" x14ac:dyDescent="0.25"/>
  <cols>
    <col min="1" max="1" width="21.25" customWidth="1"/>
    <col min="2" max="2" width="10.25" bestFit="1" customWidth="1"/>
    <col min="3" max="3" width="13.125" customWidth="1"/>
    <col min="4" max="4" width="29.625" bestFit="1" customWidth="1"/>
  </cols>
  <sheetData>
    <row r="1" spans="1:4" x14ac:dyDescent="0.25">
      <c r="B1" t="s">
        <v>40</v>
      </c>
      <c r="C1" t="s">
        <v>107</v>
      </c>
      <c r="D1" t="s">
        <v>90</v>
      </c>
    </row>
    <row r="2" spans="1:4" x14ac:dyDescent="0.25">
      <c r="A2" t="s">
        <v>39</v>
      </c>
      <c r="B2">
        <v>5</v>
      </c>
      <c r="C2" s="4">
        <v>1408.75</v>
      </c>
      <c r="D2" t="s">
        <v>89</v>
      </c>
    </row>
    <row r="3" spans="1:4" x14ac:dyDescent="0.25">
      <c r="A3" t="s">
        <v>11</v>
      </c>
      <c r="B3">
        <v>5</v>
      </c>
      <c r="C3" s="4">
        <v>1380</v>
      </c>
      <c r="D3" t="s">
        <v>87</v>
      </c>
    </row>
    <row r="4" spans="1:4" x14ac:dyDescent="0.25">
      <c r="A4" t="s">
        <v>12</v>
      </c>
      <c r="B4">
        <v>5</v>
      </c>
      <c r="C4" s="4">
        <v>1725</v>
      </c>
      <c r="D4" t="s">
        <v>88</v>
      </c>
    </row>
    <row r="6" spans="1:4" x14ac:dyDescent="0.25">
      <c r="A6" s="1" t="s">
        <v>13</v>
      </c>
    </row>
    <row r="9" spans="1:4" x14ac:dyDescent="0.25">
      <c r="A9" s="6" t="s">
        <v>108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1"/>
  <sheetViews>
    <sheetView topLeftCell="A19" workbookViewId="0">
      <selection activeCell="B38" sqref="B38"/>
    </sheetView>
  </sheetViews>
  <sheetFormatPr defaultColWidth="8.75" defaultRowHeight="15.75" x14ac:dyDescent="0.25"/>
  <cols>
    <col min="1" max="1" width="41.75" style="9" customWidth="1"/>
    <col min="2" max="2" width="16.875" style="9" customWidth="1"/>
    <col min="3" max="3" width="20.125" style="9" bestFit="1" customWidth="1"/>
    <col min="4" max="4" width="10.25" style="9" bestFit="1" customWidth="1"/>
    <col min="5" max="16384" width="8.75" style="9"/>
  </cols>
  <sheetData>
    <row r="1" spans="1:3" x14ac:dyDescent="0.25">
      <c r="A1" s="12" t="s">
        <v>22</v>
      </c>
      <c r="B1" s="11"/>
    </row>
    <row r="2" spans="1:3" x14ac:dyDescent="0.25">
      <c r="A2" s="9" t="s">
        <v>14</v>
      </c>
      <c r="B2" s="9">
        <v>4</v>
      </c>
      <c r="C2" s="4"/>
    </row>
    <row r="3" spans="1:3" x14ac:dyDescent="0.25">
      <c r="A3" s="6" t="s">
        <v>21</v>
      </c>
      <c r="B3" s="5">
        <v>8500</v>
      </c>
      <c r="C3" s="4"/>
    </row>
    <row r="4" spans="1:3" x14ac:dyDescent="0.25">
      <c r="B4" s="4"/>
      <c r="C4" s="4"/>
    </row>
    <row r="5" spans="1:3" x14ac:dyDescent="0.25">
      <c r="A5" s="9" t="s">
        <v>34</v>
      </c>
      <c r="B5" s="4">
        <v>630</v>
      </c>
      <c r="C5" s="4"/>
    </row>
    <row r="6" spans="1:3" x14ac:dyDescent="0.25">
      <c r="A6" s="9" t="s">
        <v>25</v>
      </c>
      <c r="B6" s="4">
        <f>B5*52</f>
        <v>32760</v>
      </c>
      <c r="C6" s="4"/>
    </row>
    <row r="7" spans="1:3" x14ac:dyDescent="0.25">
      <c r="A7" s="6" t="s">
        <v>24</v>
      </c>
      <c r="B7" s="5">
        <f>B6*4</f>
        <v>131040</v>
      </c>
      <c r="C7" s="4"/>
    </row>
    <row r="8" spans="1:3" x14ac:dyDescent="0.25">
      <c r="B8" s="4"/>
      <c r="C8" s="4"/>
    </row>
    <row r="9" spans="1:3" x14ac:dyDescent="0.25">
      <c r="A9" s="9" t="s">
        <v>23</v>
      </c>
      <c r="B9" s="4"/>
      <c r="C9" s="4"/>
    </row>
    <row r="10" spans="1:3" x14ac:dyDescent="0.25">
      <c r="A10" s="9" t="s">
        <v>29</v>
      </c>
      <c r="B10" s="4">
        <v>400</v>
      </c>
      <c r="C10" s="4"/>
    </row>
    <row r="11" spans="1:3" x14ac:dyDescent="0.25">
      <c r="A11" s="9" t="s">
        <v>30</v>
      </c>
      <c r="B11" s="4">
        <v>280</v>
      </c>
      <c r="C11" s="4"/>
    </row>
    <row r="12" spans="1:3" x14ac:dyDescent="0.25">
      <c r="A12" s="9" t="s">
        <v>31</v>
      </c>
      <c r="B12" s="4">
        <v>170</v>
      </c>
      <c r="C12" s="4"/>
    </row>
    <row r="13" spans="1:3" ht="28.15" customHeight="1" x14ac:dyDescent="0.25">
      <c r="A13" s="13" t="s">
        <v>26</v>
      </c>
      <c r="B13" s="4">
        <f>4*SUM(B10:B12)</f>
        <v>3400</v>
      </c>
      <c r="C13" s="4"/>
    </row>
    <row r="14" spans="1:3" x14ac:dyDescent="0.25">
      <c r="A14" s="13" t="s">
        <v>27</v>
      </c>
      <c r="B14" s="4">
        <f>B13*4</f>
        <v>13600</v>
      </c>
      <c r="C14" s="4"/>
    </row>
    <row r="15" spans="1:3" x14ac:dyDescent="0.25">
      <c r="A15" s="14" t="s">
        <v>28</v>
      </c>
      <c r="B15" s="5">
        <f>B14*12</f>
        <v>163200</v>
      </c>
      <c r="C15" s="4"/>
    </row>
    <row r="16" spans="1:3" x14ac:dyDescent="0.25">
      <c r="A16" s="6"/>
      <c r="B16" s="5"/>
      <c r="C16" s="4"/>
    </row>
    <row r="17" spans="1:3" x14ac:dyDescent="0.25">
      <c r="B17" s="4"/>
      <c r="C17" s="4"/>
    </row>
    <row r="18" spans="1:3" ht="16.5" thickBot="1" x14ac:dyDescent="0.3">
      <c r="A18" s="7" t="s">
        <v>17</v>
      </c>
      <c r="B18" s="8">
        <f>B15+B7+B3</f>
        <v>302740</v>
      </c>
      <c r="C18" s="4"/>
    </row>
    <row r="19" spans="1:3" ht="16.5" thickTop="1" x14ac:dyDescent="0.25">
      <c r="B19" s="4"/>
      <c r="C19" s="4"/>
    </row>
    <row r="20" spans="1:3" x14ac:dyDescent="0.25">
      <c r="B20" s="4"/>
      <c r="C20" s="4"/>
    </row>
    <row r="22" spans="1:3" x14ac:dyDescent="0.25">
      <c r="A22" s="12" t="s">
        <v>16</v>
      </c>
      <c r="B22" s="11"/>
    </row>
    <row r="23" spans="1:3" x14ac:dyDescent="0.25">
      <c r="A23" s="9" t="s">
        <v>14</v>
      </c>
      <c r="B23" s="9">
        <v>2</v>
      </c>
    </row>
    <row r="24" spans="1:3" x14ac:dyDescent="0.25">
      <c r="A24" s="9" t="s">
        <v>32</v>
      </c>
      <c r="B24" s="4">
        <v>3800</v>
      </c>
    </row>
    <row r="25" spans="1:3" x14ac:dyDescent="0.25">
      <c r="A25" s="9" t="s">
        <v>33</v>
      </c>
      <c r="B25" s="4">
        <v>8000</v>
      </c>
    </row>
    <row r="26" spans="1:3" ht="16.5" thickBot="1" x14ac:dyDescent="0.3">
      <c r="A26" s="7" t="s">
        <v>17</v>
      </c>
      <c r="B26" s="10">
        <f>(B24*12*B23)+(B25*B23)</f>
        <v>107200</v>
      </c>
    </row>
    <row r="27" spans="1:3" ht="16.5" thickTop="1" x14ac:dyDescent="0.25"/>
    <row r="30" spans="1:3" x14ac:dyDescent="0.25">
      <c r="A30" s="12" t="s">
        <v>35</v>
      </c>
      <c r="B30" s="11"/>
    </row>
    <row r="31" spans="1:3" x14ac:dyDescent="0.25">
      <c r="A31" s="6" t="s">
        <v>18</v>
      </c>
      <c r="B31" s="5">
        <v>15000</v>
      </c>
    </row>
    <row r="32" spans="1:3" x14ac:dyDescent="0.25">
      <c r="B32" s="4"/>
    </row>
    <row r="33" spans="1:2" x14ac:dyDescent="0.25">
      <c r="A33" s="9" t="s">
        <v>19</v>
      </c>
      <c r="B33" s="4">
        <v>1000</v>
      </c>
    </row>
    <row r="34" spans="1:2" x14ac:dyDescent="0.25">
      <c r="A34" s="6" t="s">
        <v>36</v>
      </c>
      <c r="B34" s="5">
        <f>B33*12</f>
        <v>12000</v>
      </c>
    </row>
    <row r="35" spans="1:2" x14ac:dyDescent="0.25">
      <c r="B35" s="4"/>
    </row>
    <row r="36" spans="1:2" ht="31.5" x14ac:dyDescent="0.25">
      <c r="A36" s="13" t="s">
        <v>20</v>
      </c>
      <c r="B36" s="4">
        <v>450</v>
      </c>
    </row>
    <row r="37" spans="1:2" ht="31.5" x14ac:dyDescent="0.25">
      <c r="A37" s="15" t="s">
        <v>37</v>
      </c>
      <c r="B37" s="5">
        <f>B36*12</f>
        <v>5400</v>
      </c>
    </row>
    <row r="38" spans="1:2" ht="16.5" thickBot="1" x14ac:dyDescent="0.3">
      <c r="A38" s="7" t="s">
        <v>17</v>
      </c>
      <c r="B38" s="10">
        <f>B37+B34+B31</f>
        <v>32400</v>
      </c>
    </row>
    <row r="39" spans="1:2" ht="16.5" thickTop="1" x14ac:dyDescent="0.25"/>
    <row r="41" spans="1:2" ht="18.75" x14ac:dyDescent="0.3">
      <c r="A41" s="16" t="s">
        <v>38</v>
      </c>
      <c r="B41" s="17">
        <f>B38+B26+B18</f>
        <v>442340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workbookViewId="0">
      <selection activeCell="E18" sqref="E18"/>
    </sheetView>
  </sheetViews>
  <sheetFormatPr defaultRowHeight="15.75" x14ac:dyDescent="0.25"/>
  <cols>
    <col min="1" max="1" width="23.125" customWidth="1"/>
    <col min="2" max="2" width="14.75" customWidth="1"/>
  </cols>
  <sheetData>
    <row r="1" spans="1:2" x14ac:dyDescent="0.25">
      <c r="A1" s="1" t="s">
        <v>111</v>
      </c>
    </row>
    <row r="3" spans="1:2" x14ac:dyDescent="0.25">
      <c r="A3" s="1"/>
    </row>
    <row r="4" spans="1:2" x14ac:dyDescent="0.25">
      <c r="A4" s="33"/>
      <c r="B4" s="12" t="s">
        <v>114</v>
      </c>
    </row>
    <row r="5" spans="1:2" x14ac:dyDescent="0.25">
      <c r="A5" t="s">
        <v>6</v>
      </c>
      <c r="B5" s="1">
        <v>1</v>
      </c>
    </row>
    <row r="6" spans="1:2" x14ac:dyDescent="0.25">
      <c r="A6" t="s">
        <v>112</v>
      </c>
      <c r="B6" s="1">
        <v>2</v>
      </c>
    </row>
    <row r="7" spans="1:2" x14ac:dyDescent="0.25">
      <c r="A7" t="s">
        <v>113</v>
      </c>
      <c r="B7" s="1">
        <v>4</v>
      </c>
    </row>
    <row r="8" spans="1:2" x14ac:dyDescent="0.25">
      <c r="A8" t="s">
        <v>3</v>
      </c>
      <c r="B8" s="1">
        <v>2</v>
      </c>
    </row>
    <row r="9" spans="1:2" x14ac:dyDescent="0.25">
      <c r="A9" t="s">
        <v>44</v>
      </c>
      <c r="B9" s="1">
        <v>2</v>
      </c>
    </row>
    <row r="10" spans="1:2" x14ac:dyDescent="0.25">
      <c r="A10" t="s">
        <v>7</v>
      </c>
      <c r="B10" s="1">
        <v>1</v>
      </c>
    </row>
    <row r="11" spans="1:2" ht="16.5" thickBot="1" x14ac:dyDescent="0.3">
      <c r="A11" s="34" t="s">
        <v>17</v>
      </c>
      <c r="B11" s="7">
        <f>SUM(B5:B10)</f>
        <v>12</v>
      </c>
    </row>
    <row r="12" spans="1:2" ht="16.5" thickTop="1" x14ac:dyDescent="0.25"/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2"/>
  <sheetViews>
    <sheetView zoomScale="115" zoomScaleNormal="115" workbookViewId="0">
      <selection activeCell="E11" sqref="E11"/>
    </sheetView>
  </sheetViews>
  <sheetFormatPr defaultColWidth="8.75" defaultRowHeight="15" x14ac:dyDescent="0.25"/>
  <cols>
    <col min="1" max="1" width="37.125" style="23" bestFit="1" customWidth="1"/>
    <col min="2" max="2" width="6.25" style="23" bestFit="1" customWidth="1"/>
    <col min="3" max="3" width="8.125" style="23" bestFit="1" customWidth="1"/>
    <col min="4" max="4" width="13.5" style="23" bestFit="1" customWidth="1"/>
    <col min="5" max="5" width="9.375" style="23" bestFit="1" customWidth="1"/>
    <col min="6" max="16384" width="8.75" style="23"/>
  </cols>
  <sheetData>
    <row r="1" spans="1:5" x14ac:dyDescent="0.25">
      <c r="A1" s="37" t="s">
        <v>66</v>
      </c>
      <c r="B1" s="37" t="s">
        <v>67</v>
      </c>
      <c r="C1" s="38" t="s">
        <v>68</v>
      </c>
      <c r="D1" s="37" t="s">
        <v>69</v>
      </c>
      <c r="E1" s="37" t="s">
        <v>70</v>
      </c>
    </row>
    <row r="2" spans="1:5" x14ac:dyDescent="0.25">
      <c r="A2" s="23" t="s">
        <v>71</v>
      </c>
      <c r="B2" s="23">
        <v>2018</v>
      </c>
      <c r="C2" s="24" t="s">
        <v>72</v>
      </c>
      <c r="D2" s="23">
        <v>26585</v>
      </c>
      <c r="E2" s="23">
        <f>Table1[[#This Row],[SquareMeters]]/10000</f>
        <v>2.6585000000000001</v>
      </c>
    </row>
    <row r="3" spans="1:5" x14ac:dyDescent="0.25">
      <c r="A3" s="23" t="s">
        <v>73</v>
      </c>
      <c r="B3" s="23">
        <v>2018</v>
      </c>
      <c r="C3" s="24" t="s">
        <v>74</v>
      </c>
      <c r="D3" s="23">
        <v>33890</v>
      </c>
      <c r="E3" s="23">
        <f>Table1[[#This Row],[SquareMeters]]/10000</f>
        <v>3.3889999999999998</v>
      </c>
    </row>
    <row r="4" spans="1:5" x14ac:dyDescent="0.25">
      <c r="A4" s="23" t="s">
        <v>75</v>
      </c>
      <c r="B4" s="23">
        <v>2018</v>
      </c>
      <c r="C4" s="24" t="s">
        <v>76</v>
      </c>
      <c r="D4" s="23">
        <v>7018</v>
      </c>
      <c r="E4" s="23">
        <f>Table1[[#This Row],[SquareMeters]]/10000</f>
        <v>0.70179999999999998</v>
      </c>
    </row>
    <row r="5" spans="1:5" x14ac:dyDescent="0.25">
      <c r="A5" s="23" t="s">
        <v>77</v>
      </c>
      <c r="B5" s="23">
        <v>2018</v>
      </c>
      <c r="C5" s="24" t="s">
        <v>78</v>
      </c>
      <c r="D5" s="23">
        <v>24083</v>
      </c>
      <c r="E5" s="23">
        <f>Table1[[#This Row],[SquareMeters]]/10000</f>
        <v>2.4083000000000001</v>
      </c>
    </row>
    <row r="6" spans="1:5" x14ac:dyDescent="0.25">
      <c r="A6" s="23" t="s">
        <v>79</v>
      </c>
      <c r="B6" s="23">
        <v>2018</v>
      </c>
      <c r="C6" s="24" t="s">
        <v>80</v>
      </c>
      <c r="D6" s="23">
        <v>21214</v>
      </c>
      <c r="E6" s="23">
        <f>Table1[[#This Row],[SquareMeters]]/10000</f>
        <v>2.1214</v>
      </c>
    </row>
    <row r="7" spans="1:5" x14ac:dyDescent="0.25">
      <c r="A7" s="23" t="s">
        <v>81</v>
      </c>
      <c r="B7" s="23">
        <v>2019</v>
      </c>
      <c r="C7" s="24" t="s">
        <v>82</v>
      </c>
      <c r="D7" s="23">
        <v>95261</v>
      </c>
      <c r="E7" s="23">
        <f>Table1[[#This Row],[SquareMeters]]/10000</f>
        <v>9.5260999999999996</v>
      </c>
    </row>
    <row r="8" spans="1:5" x14ac:dyDescent="0.25">
      <c r="A8" s="23" t="s">
        <v>83</v>
      </c>
      <c r="B8" s="23">
        <v>2019</v>
      </c>
      <c r="C8" s="24" t="s">
        <v>84</v>
      </c>
      <c r="D8" s="23">
        <v>50296</v>
      </c>
      <c r="E8" s="23">
        <f>Table1[[#This Row],[SquareMeters]]/10000</f>
        <v>5.0296000000000003</v>
      </c>
    </row>
    <row r="9" spans="1:5" x14ac:dyDescent="0.25">
      <c r="A9" s="26" t="s">
        <v>106</v>
      </c>
      <c r="B9" s="23">
        <v>2019</v>
      </c>
      <c r="C9" s="25" t="s">
        <v>105</v>
      </c>
      <c r="D9" s="23">
        <v>5431</v>
      </c>
      <c r="E9" s="23">
        <f>Table1[[#This Row],[SquareMeters]]/10000</f>
        <v>0.54310000000000003</v>
      </c>
    </row>
    <row r="10" spans="1:5" x14ac:dyDescent="0.25">
      <c r="A10" s="23" t="s">
        <v>85</v>
      </c>
      <c r="B10" s="23">
        <v>2019</v>
      </c>
      <c r="C10" s="24" t="s">
        <v>86</v>
      </c>
      <c r="D10" s="23">
        <v>29957</v>
      </c>
      <c r="E10" s="23">
        <f>Table1[[#This Row],[SquareMeters]]/10000</f>
        <v>2.9956999999999998</v>
      </c>
    </row>
    <row r="11" spans="1:5" ht="15.75" thickBot="1" x14ac:dyDescent="0.3">
      <c r="A11" s="35" t="s">
        <v>17</v>
      </c>
      <c r="B11" s="36"/>
      <c r="C11" s="36"/>
      <c r="D11" s="36"/>
      <c r="E11" s="35">
        <f>SUBTOTAL(109,Table1[Hectares])</f>
        <v>29.373499999999996</v>
      </c>
    </row>
    <row r="12" spans="1:5" ht="15.75" thickTop="1" x14ac:dyDescent="0.25"/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9"/>
  <sheetViews>
    <sheetView topLeftCell="A28" workbookViewId="0">
      <selection activeCell="B46" sqref="B46"/>
    </sheetView>
  </sheetViews>
  <sheetFormatPr defaultRowHeight="15.75" x14ac:dyDescent="0.25"/>
  <cols>
    <col min="1" max="1" width="40.5" customWidth="1"/>
    <col min="2" max="2" width="30.875" bestFit="1" customWidth="1"/>
    <col min="3" max="3" width="12.25" bestFit="1" customWidth="1"/>
    <col min="4" max="4" width="17.25" bestFit="1" customWidth="1"/>
    <col min="5" max="5" width="11" bestFit="1" customWidth="1"/>
  </cols>
  <sheetData>
    <row r="1" spans="1:5" ht="18.75" x14ac:dyDescent="0.3">
      <c r="A1" s="16" t="s">
        <v>48</v>
      </c>
    </row>
    <row r="2" spans="1:5" x14ac:dyDescent="0.25">
      <c r="C2" t="s">
        <v>50</v>
      </c>
      <c r="D2" t="s">
        <v>47</v>
      </c>
      <c r="E2" t="s">
        <v>41</v>
      </c>
    </row>
    <row r="3" spans="1:5" x14ac:dyDescent="0.25">
      <c r="A3" t="s">
        <v>46</v>
      </c>
      <c r="B3" s="1" t="s">
        <v>2</v>
      </c>
      <c r="C3" s="2">
        <v>9100</v>
      </c>
      <c r="D3">
        <v>2</v>
      </c>
      <c r="E3" s="2">
        <f>D3*C3</f>
        <v>18200</v>
      </c>
    </row>
    <row r="4" spans="1:5" x14ac:dyDescent="0.25">
      <c r="B4" s="1" t="s">
        <v>1</v>
      </c>
      <c r="C4" s="2">
        <v>13600</v>
      </c>
      <c r="D4">
        <v>4</v>
      </c>
      <c r="E4" s="2">
        <f t="shared" ref="E4:E6" si="0">D4*C4</f>
        <v>54400</v>
      </c>
    </row>
    <row r="5" spans="1:5" x14ac:dyDescent="0.25">
      <c r="B5" s="1" t="s">
        <v>3</v>
      </c>
      <c r="C5" s="2">
        <v>9900</v>
      </c>
      <c r="D5">
        <v>2</v>
      </c>
      <c r="E5" s="2">
        <f t="shared" si="0"/>
        <v>19800</v>
      </c>
    </row>
    <row r="6" spans="1:5" x14ac:dyDescent="0.25">
      <c r="B6" s="1" t="s">
        <v>4</v>
      </c>
      <c r="C6" s="2">
        <v>8600</v>
      </c>
      <c r="D6">
        <v>2</v>
      </c>
      <c r="E6" s="2">
        <f t="shared" si="0"/>
        <v>17200</v>
      </c>
    </row>
    <row r="7" spans="1:5" x14ac:dyDescent="0.25">
      <c r="B7" s="1" t="s">
        <v>5</v>
      </c>
      <c r="C7" s="2">
        <v>35200</v>
      </c>
    </row>
    <row r="8" spans="1:5" x14ac:dyDescent="0.25">
      <c r="B8" s="1"/>
      <c r="C8" s="2"/>
      <c r="D8" s="6" t="s">
        <v>17</v>
      </c>
      <c r="E8" s="20">
        <f>SUM(E3:E7)</f>
        <v>109600</v>
      </c>
    </row>
    <row r="9" spans="1:5" s="11" customFormat="1" x14ac:dyDescent="0.25">
      <c r="B9" s="18"/>
      <c r="C9" s="19"/>
    </row>
    <row r="10" spans="1:5" x14ac:dyDescent="0.25">
      <c r="B10" s="1"/>
      <c r="C10" s="2"/>
    </row>
    <row r="11" spans="1:5" ht="18.75" x14ac:dyDescent="0.3">
      <c r="A11" s="16" t="s">
        <v>49</v>
      </c>
    </row>
    <row r="14" spans="1:5" x14ac:dyDescent="0.25">
      <c r="C14" t="s">
        <v>50</v>
      </c>
      <c r="D14" t="s">
        <v>47</v>
      </c>
      <c r="E14" t="s">
        <v>41</v>
      </c>
    </row>
    <row r="15" spans="1:5" x14ac:dyDescent="0.25">
      <c r="A15" t="s">
        <v>42</v>
      </c>
      <c r="B15" s="1" t="s">
        <v>6</v>
      </c>
      <c r="C15" s="2">
        <v>358.15</v>
      </c>
      <c r="D15">
        <v>1</v>
      </c>
      <c r="E15" s="2">
        <f>D15*C15</f>
        <v>358.15</v>
      </c>
    </row>
    <row r="16" spans="1:5" x14ac:dyDescent="0.25">
      <c r="B16" s="1" t="s">
        <v>7</v>
      </c>
      <c r="C16" s="2">
        <v>209.05</v>
      </c>
      <c r="D16">
        <v>1</v>
      </c>
      <c r="E16" s="2">
        <f t="shared" ref="E16:E21" si="1">D16*C16</f>
        <v>209.05</v>
      </c>
    </row>
    <row r="17" spans="1:5" x14ac:dyDescent="0.25">
      <c r="B17" s="1" t="s">
        <v>8</v>
      </c>
      <c r="C17" s="2">
        <v>146.35</v>
      </c>
      <c r="D17">
        <v>2</v>
      </c>
      <c r="E17" s="2">
        <f t="shared" si="1"/>
        <v>292.7</v>
      </c>
    </row>
    <row r="18" spans="1:5" x14ac:dyDescent="0.25">
      <c r="B18" s="1" t="s">
        <v>43</v>
      </c>
      <c r="C18" s="2">
        <v>123.5</v>
      </c>
      <c r="D18">
        <v>4</v>
      </c>
      <c r="E18" s="2">
        <f t="shared" si="1"/>
        <v>494</v>
      </c>
    </row>
    <row r="19" spans="1:5" x14ac:dyDescent="0.25">
      <c r="B19" s="1" t="s">
        <v>44</v>
      </c>
      <c r="C19" s="2">
        <v>123.5</v>
      </c>
      <c r="D19">
        <v>2</v>
      </c>
      <c r="E19" s="2">
        <f t="shared" si="1"/>
        <v>247</v>
      </c>
    </row>
    <row r="20" spans="1:5" x14ac:dyDescent="0.25">
      <c r="B20" s="1" t="s">
        <v>3</v>
      </c>
      <c r="C20" s="2">
        <v>123.5</v>
      </c>
      <c r="D20">
        <v>2</v>
      </c>
      <c r="E20" s="2">
        <f t="shared" si="1"/>
        <v>247</v>
      </c>
    </row>
    <row r="21" spans="1:5" x14ac:dyDescent="0.25">
      <c r="B21" s="1" t="s">
        <v>10</v>
      </c>
      <c r="C21" s="2">
        <v>116.7</v>
      </c>
      <c r="E21" s="2">
        <f t="shared" si="1"/>
        <v>0</v>
      </c>
    </row>
    <row r="22" spans="1:5" x14ac:dyDescent="0.25">
      <c r="B22" s="1"/>
      <c r="C22" s="2"/>
      <c r="D22" s="6" t="s">
        <v>52</v>
      </c>
      <c r="E22" s="20">
        <f>SUM(E15:E21)</f>
        <v>1847.9</v>
      </c>
    </row>
    <row r="23" spans="1:5" x14ac:dyDescent="0.25">
      <c r="B23" s="1"/>
      <c r="C23" s="2"/>
      <c r="D23" s="6" t="s">
        <v>51</v>
      </c>
      <c r="E23" s="20">
        <f>E22*21</f>
        <v>38805.9</v>
      </c>
    </row>
    <row r="24" spans="1:5" x14ac:dyDescent="0.25">
      <c r="B24" s="1"/>
      <c r="C24" s="2"/>
      <c r="E24" s="2"/>
    </row>
    <row r="25" spans="1:5" x14ac:dyDescent="0.25">
      <c r="B25" s="1"/>
      <c r="C25" s="2"/>
      <c r="E25" s="2"/>
    </row>
    <row r="27" spans="1:5" x14ac:dyDescent="0.25">
      <c r="A27" t="s">
        <v>45</v>
      </c>
      <c r="B27" t="s">
        <v>39</v>
      </c>
      <c r="C27" s="4">
        <v>1408.75</v>
      </c>
    </row>
    <row r="28" spans="1:5" x14ac:dyDescent="0.25">
      <c r="A28" s="1"/>
      <c r="B28" t="s">
        <v>11</v>
      </c>
      <c r="C28" s="4">
        <v>1380</v>
      </c>
    </row>
    <row r="29" spans="1:5" x14ac:dyDescent="0.25">
      <c r="B29" t="s">
        <v>12</v>
      </c>
      <c r="C29" s="4">
        <v>1725</v>
      </c>
    </row>
    <row r="30" spans="1:5" x14ac:dyDescent="0.25">
      <c r="B30" s="6" t="s">
        <v>53</v>
      </c>
      <c r="C30" s="21">
        <f>SUM(C27:C29)</f>
        <v>4513.75</v>
      </c>
    </row>
    <row r="31" spans="1:5" x14ac:dyDescent="0.25">
      <c r="B31" s="6" t="s">
        <v>51</v>
      </c>
      <c r="C31" s="21">
        <f>C30*21/5</f>
        <v>18957.75</v>
      </c>
    </row>
    <row r="34" spans="1:3" x14ac:dyDescent="0.25">
      <c r="A34" t="s">
        <v>54</v>
      </c>
      <c r="C34" s="22">
        <f>302740/2/12</f>
        <v>12614.166666666666</v>
      </c>
    </row>
    <row r="36" spans="1:3" x14ac:dyDescent="0.25">
      <c r="A36" t="s">
        <v>55</v>
      </c>
      <c r="C36" s="5">
        <f>107200/12</f>
        <v>8933.3333333333339</v>
      </c>
    </row>
    <row r="38" spans="1:3" x14ac:dyDescent="0.25">
      <c r="A38" s="9" t="s">
        <v>56</v>
      </c>
      <c r="C38" s="21">
        <f>32400/12</f>
        <v>2700</v>
      </c>
    </row>
    <row r="41" spans="1:3" x14ac:dyDescent="0.25">
      <c r="A41" s="6" t="s">
        <v>57</v>
      </c>
      <c r="B41" s="21">
        <f>SUM(C38,C36,C34,C31,E23)</f>
        <v>82011.149999999994</v>
      </c>
    </row>
    <row r="42" spans="1:3" x14ac:dyDescent="0.25">
      <c r="A42" s="6" t="s">
        <v>58</v>
      </c>
      <c r="B42" s="21">
        <f>B41+(E8/12)</f>
        <v>91144.483333333323</v>
      </c>
    </row>
    <row r="46" spans="1:3" x14ac:dyDescent="0.25">
      <c r="A46" s="6" t="s">
        <v>59</v>
      </c>
      <c r="B46" s="39">
        <f>Table1[[#Totals],[Hectares]]/COUNTA(Table1[Hectares])</f>
        <v>3.263722222222222</v>
      </c>
    </row>
    <row r="49" spans="1:2" x14ac:dyDescent="0.25">
      <c r="A49" t="s">
        <v>60</v>
      </c>
      <c r="B49" s="21">
        <f>B42/B46</f>
        <v>27926.544334178765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4"/>
  <sheetViews>
    <sheetView tabSelected="1" workbookViewId="0">
      <selection activeCell="C18" sqref="C18"/>
    </sheetView>
  </sheetViews>
  <sheetFormatPr defaultRowHeight="15.75" x14ac:dyDescent="0.25"/>
  <cols>
    <col min="1" max="1" width="44" bestFit="1" customWidth="1"/>
    <col min="2" max="2" width="11.875" bestFit="1" customWidth="1"/>
    <col min="3" max="3" width="13.5" bestFit="1" customWidth="1"/>
    <col min="4" max="4" width="15.75" bestFit="1" customWidth="1"/>
  </cols>
  <sheetData>
    <row r="1" spans="1:8" x14ac:dyDescent="0.25">
      <c r="A1" t="s">
        <v>61</v>
      </c>
    </row>
    <row r="3" spans="1:8" x14ac:dyDescent="0.25">
      <c r="A3" s="27" t="s">
        <v>64</v>
      </c>
      <c r="B3" s="28">
        <f>Table1[[#Totals],[Hectares]]/COUNTA(Table1[Hectares])</f>
        <v>3.263722222222222</v>
      </c>
      <c r="C3" s="27"/>
    </row>
    <row r="4" spans="1:8" x14ac:dyDescent="0.25">
      <c r="A4" s="27"/>
      <c r="B4" s="27"/>
      <c r="C4" s="27"/>
    </row>
    <row r="5" spans="1:8" x14ac:dyDescent="0.25">
      <c r="A5" s="27" t="s">
        <v>92</v>
      </c>
      <c r="B5" s="27" t="s">
        <v>41</v>
      </c>
      <c r="C5" s="27" t="s">
        <v>91</v>
      </c>
      <c r="D5" t="s">
        <v>65</v>
      </c>
    </row>
    <row r="6" spans="1:8" x14ac:dyDescent="0.25">
      <c r="A6" s="27" t="s">
        <v>97</v>
      </c>
      <c r="B6" s="29">
        <f>TOTALS!E23</f>
        <v>38805.9</v>
      </c>
      <c r="C6" s="29">
        <f t="shared" ref="C6:C10" si="0">B6/$B$3</f>
        <v>11890.074386777198</v>
      </c>
      <c r="D6" s="4">
        <f t="shared" ref="D6:D10" si="1">ROUND(C6,-2)</f>
        <v>11900</v>
      </c>
    </row>
    <row r="7" spans="1:8" x14ac:dyDescent="0.25">
      <c r="A7" s="27" t="s">
        <v>43</v>
      </c>
      <c r="B7" s="29">
        <f>TOTALS!C31</f>
        <v>18957.75</v>
      </c>
      <c r="C7" s="29">
        <f t="shared" si="0"/>
        <v>5808.6285257119516</v>
      </c>
      <c r="D7" s="4">
        <f t="shared" si="1"/>
        <v>5800</v>
      </c>
    </row>
    <row r="8" spans="1:8" x14ac:dyDescent="0.25">
      <c r="A8" s="27" t="s">
        <v>94</v>
      </c>
      <c r="B8" s="29">
        <f>TOTALS!C34</f>
        <v>12614.166666666666</v>
      </c>
      <c r="C8" s="29">
        <f t="shared" si="0"/>
        <v>3864.9633172757758</v>
      </c>
      <c r="D8" s="4">
        <f t="shared" si="1"/>
        <v>3900</v>
      </c>
    </row>
    <row r="9" spans="1:8" x14ac:dyDescent="0.25">
      <c r="A9" s="27" t="s">
        <v>93</v>
      </c>
      <c r="B9" s="29">
        <f>TOTALS!C36</f>
        <v>8933.3333333333339</v>
      </c>
      <c r="C9" s="29">
        <f t="shared" si="0"/>
        <v>2737.1610465215249</v>
      </c>
      <c r="D9" s="4">
        <f t="shared" si="1"/>
        <v>2700</v>
      </c>
      <c r="H9" s="6"/>
    </row>
    <row r="10" spans="1:8" x14ac:dyDescent="0.25">
      <c r="A10" s="30" t="s">
        <v>96</v>
      </c>
      <c r="B10" s="29">
        <f>TOTALS!C38</f>
        <v>2700</v>
      </c>
      <c r="C10" s="29">
        <f t="shared" si="0"/>
        <v>827.27628644866979</v>
      </c>
      <c r="D10" s="4">
        <f t="shared" si="1"/>
        <v>800</v>
      </c>
    </row>
    <row r="11" spans="1:8" x14ac:dyDescent="0.25">
      <c r="A11" s="31" t="s">
        <v>62</v>
      </c>
      <c r="B11" s="32">
        <f>SUM(B6:B10)</f>
        <v>82011.149999999994</v>
      </c>
      <c r="C11" s="32">
        <f>SUM(C6:C10)</f>
        <v>25128.103562735116</v>
      </c>
      <c r="D11" s="5">
        <f>SUM(D6:D10)</f>
        <v>25100</v>
      </c>
    </row>
    <row r="12" spans="1:8" x14ac:dyDescent="0.25">
      <c r="A12" s="31"/>
      <c r="B12" s="32"/>
      <c r="C12" s="32"/>
      <c r="D12" s="5"/>
    </row>
    <row r="13" spans="1:8" x14ac:dyDescent="0.25">
      <c r="A13" s="27" t="s">
        <v>95</v>
      </c>
      <c r="B13" s="29">
        <f>TOTALS!E8/12</f>
        <v>9133.3333333333339</v>
      </c>
      <c r="C13" s="29">
        <f>B13/$B$3</f>
        <v>2798.4407714436484</v>
      </c>
      <c r="D13" s="4">
        <f>ROUND(C13,-2)</f>
        <v>2800</v>
      </c>
    </row>
    <row r="14" spans="1:8" x14ac:dyDescent="0.25">
      <c r="A14" s="31" t="s">
        <v>63</v>
      </c>
      <c r="B14" s="32">
        <f>SUM(B6:B10,B13)</f>
        <v>91144.483333333323</v>
      </c>
      <c r="C14" s="32">
        <f>SUM(C6:C10,C13)</f>
        <v>27926.544334178765</v>
      </c>
      <c r="D14" s="5">
        <f>SUM(D6:D10,D13)</f>
        <v>27900</v>
      </c>
    </row>
    <row r="15" spans="1:8" x14ac:dyDescent="0.25">
      <c r="A15" s="27"/>
      <c r="B15" s="27"/>
      <c r="C15" s="27"/>
    </row>
    <row r="16" spans="1:8" x14ac:dyDescent="0.25">
      <c r="A16" s="27"/>
      <c r="B16" s="27"/>
      <c r="C16" s="27"/>
    </row>
    <row r="17" spans="1:3" x14ac:dyDescent="0.25">
      <c r="A17" s="27"/>
      <c r="B17" s="27"/>
      <c r="C17" s="27"/>
    </row>
    <row r="18" spans="1:3" x14ac:dyDescent="0.25">
      <c r="A18" s="31" t="s">
        <v>98</v>
      </c>
      <c r="B18" s="27"/>
      <c r="C18" s="27"/>
    </row>
    <row r="19" spans="1:3" x14ac:dyDescent="0.25">
      <c r="A19" s="27" t="s">
        <v>99</v>
      </c>
      <c r="B19" s="27" t="s">
        <v>100</v>
      </c>
      <c r="C19" s="27"/>
    </row>
    <row r="20" spans="1:3" x14ac:dyDescent="0.25">
      <c r="A20" s="31" t="s">
        <v>101</v>
      </c>
      <c r="B20" s="27" t="s">
        <v>103</v>
      </c>
      <c r="C20" s="27"/>
    </row>
    <row r="21" spans="1:3" x14ac:dyDescent="0.25">
      <c r="A21" s="27" t="s">
        <v>102</v>
      </c>
      <c r="B21" s="27" t="s">
        <v>104</v>
      </c>
      <c r="C21" s="27"/>
    </row>
    <row r="22" spans="1:3" x14ac:dyDescent="0.25">
      <c r="A22" s="27"/>
      <c r="B22" s="27"/>
      <c r="C22" s="27"/>
    </row>
    <row r="23" spans="1:3" x14ac:dyDescent="0.25">
      <c r="A23" s="27"/>
      <c r="B23" s="27"/>
      <c r="C23" s="27"/>
    </row>
    <row r="24" spans="1:3" x14ac:dyDescent="0.25">
      <c r="A24" s="27"/>
      <c r="B24" s="27"/>
      <c r="C24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Training</vt:lpstr>
      <vt:lpstr>Salaries Baseline</vt:lpstr>
      <vt:lpstr>Herbicides</vt:lpstr>
      <vt:lpstr>Equipment</vt:lpstr>
      <vt:lpstr>Teams</vt:lpstr>
      <vt:lpstr>Area Cleared</vt:lpstr>
      <vt:lpstr>TOTALS</vt:lpstr>
      <vt:lpstr>SUMMARY 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Jan-Hendrik</dc:creator>
  <cp:lastModifiedBy>Mrs. HJ Jansen van Vuuren</cp:lastModifiedBy>
  <dcterms:created xsi:type="dcterms:W3CDTF">2019-10-21T10:39:43Z</dcterms:created>
  <dcterms:modified xsi:type="dcterms:W3CDTF">2021-08-30T12:55:24Z</dcterms:modified>
</cp:coreProperties>
</file>