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280" windowHeight="84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K332" i="1" l="1"/>
  <c r="K333" i="1"/>
  <c r="K335" i="1"/>
  <c r="K336" i="1"/>
  <c r="K337" i="1"/>
  <c r="K331" i="1"/>
  <c r="J331" i="1"/>
  <c r="J332" i="1"/>
  <c r="J333" i="1"/>
  <c r="J334" i="1"/>
  <c r="K334" i="1" s="1"/>
  <c r="J335" i="1"/>
  <c r="J336" i="1"/>
  <c r="J337" i="1"/>
  <c r="J338" i="1"/>
  <c r="K338" i="1" s="1"/>
  <c r="I332" i="1"/>
  <c r="I333" i="1"/>
  <c r="I334" i="1"/>
  <c r="I335" i="1"/>
  <c r="I336" i="1"/>
  <c r="I337" i="1"/>
  <c r="I338" i="1"/>
  <c r="I331" i="1"/>
  <c r="E255" i="1"/>
  <c r="F255" i="1" s="1"/>
  <c r="F254" i="1"/>
  <c r="F253" i="1"/>
  <c r="F252" i="1"/>
  <c r="E252" i="1"/>
  <c r="E249" i="1"/>
  <c r="E248" i="1"/>
  <c r="E247" i="1"/>
  <c r="E246" i="1"/>
  <c r="E242" i="1"/>
  <c r="F23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195" i="1"/>
  <c r="E195" i="1" s="1"/>
  <c r="E194" i="1"/>
  <c r="F193" i="1"/>
  <c r="E193" i="1" s="1"/>
  <c r="F192" i="1"/>
  <c r="E192" i="1" s="1"/>
  <c r="M189" i="1"/>
  <c r="F189" i="1"/>
  <c r="E189" i="1" s="1"/>
  <c r="M188" i="1"/>
  <c r="F188" i="1"/>
  <c r="E188" i="1" s="1"/>
  <c r="M187" i="1"/>
  <c r="F187" i="1"/>
  <c r="L186" i="1"/>
  <c r="M186" i="1" s="1"/>
  <c r="L185" i="1"/>
  <c r="M185" i="1" s="1"/>
  <c r="M184" i="1"/>
  <c r="F184" i="1"/>
  <c r="E184" i="1" s="1"/>
  <c r="L183" i="1"/>
  <c r="M183" i="1" s="1"/>
  <c r="L182" i="1"/>
  <c r="M182" i="1" s="1"/>
  <c r="L181" i="1"/>
  <c r="M181" i="1" s="1"/>
  <c r="L180" i="1"/>
  <c r="M180" i="1" s="1"/>
  <c r="L179" i="1"/>
  <c r="M179" i="1" s="1"/>
  <c r="M178" i="1"/>
  <c r="F178" i="1"/>
  <c r="E178" i="1" s="1"/>
  <c r="L177" i="1"/>
  <c r="M177" i="1" s="1"/>
  <c r="L176" i="1"/>
  <c r="F176" i="1" s="1"/>
  <c r="E176" i="1" s="1"/>
  <c r="M175" i="1"/>
  <c r="F175" i="1"/>
  <c r="E175" i="1" s="1"/>
  <c r="E170" i="1"/>
  <c r="F170" i="1" s="1"/>
  <c r="F169" i="1"/>
  <c r="F168" i="1"/>
  <c r="E167" i="1"/>
  <c r="F167" i="1" s="1"/>
  <c r="E140" i="1"/>
  <c r="F62" i="1"/>
  <c r="F104" i="1" s="1"/>
  <c r="N52" i="1"/>
  <c r="M52" i="1"/>
  <c r="J52" i="1"/>
  <c r="I52" i="1"/>
  <c r="H52" i="1"/>
  <c r="G52" i="1"/>
  <c r="F52" i="1"/>
  <c r="E52" i="1"/>
  <c r="D52" i="1"/>
  <c r="C52" i="1"/>
  <c r="D55" i="1" s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J9" i="1"/>
  <c r="I9" i="1"/>
  <c r="H9" i="1"/>
  <c r="G9" i="1"/>
  <c r="F9" i="1"/>
  <c r="E9" i="1"/>
  <c r="D9" i="1"/>
  <c r="K8" i="1"/>
  <c r="L8" i="1" s="1"/>
  <c r="Q10" i="1" s="1"/>
  <c r="M176" i="1" l="1"/>
  <c r="F185" i="1"/>
  <c r="E185" i="1" s="1"/>
  <c r="S66" i="1"/>
  <c r="S70" i="1" s="1"/>
  <c r="S74" i="1" s="1"/>
  <c r="L52" i="1"/>
  <c r="F64" i="1"/>
  <c r="F66" i="1" s="1"/>
  <c r="F101" i="1" s="1"/>
  <c r="F177" i="1"/>
  <c r="E177" i="1" s="1"/>
  <c r="F186" i="1"/>
  <c r="E186" i="1" s="1"/>
  <c r="F179" i="1"/>
  <c r="E179" i="1" s="1"/>
  <c r="F180" i="1"/>
  <c r="E180" i="1" s="1"/>
  <c r="F181" i="1"/>
  <c r="E181" i="1" s="1"/>
  <c r="F182" i="1"/>
  <c r="E182" i="1" s="1"/>
  <c r="F183" i="1"/>
  <c r="E183" i="1" s="1"/>
  <c r="F68" i="1"/>
  <c r="F70" i="1" s="1"/>
  <c r="F72" i="1" s="1"/>
  <c r="F74" i="1" s="1"/>
  <c r="F76" i="1" s="1"/>
  <c r="E11" i="1"/>
  <c r="M8" i="1"/>
  <c r="S68" i="1" l="1"/>
  <c r="S72" i="1" s="1"/>
  <c r="S92" i="1" s="1"/>
  <c r="L110" i="1" s="1"/>
  <c r="F78" i="1"/>
  <c r="F102" i="1" s="1"/>
  <c r="L109" i="1" s="1"/>
  <c r="L112" i="1" l="1"/>
  <c r="F80" i="1"/>
  <c r="F82" i="1" s="1"/>
  <c r="F84" i="1" s="1"/>
  <c r="F86" i="1" s="1"/>
  <c r="F88" i="1" s="1"/>
  <c r="F90" i="1" s="1"/>
  <c r="F92" i="1" s="1"/>
  <c r="V94" i="1" s="1"/>
</calcChain>
</file>

<file path=xl/sharedStrings.xml><?xml version="1.0" encoding="utf-8"?>
<sst xmlns="http://schemas.openxmlformats.org/spreadsheetml/2006/main" count="486" uniqueCount="296">
  <si>
    <t>increase</t>
  </si>
  <si>
    <t>decrease</t>
  </si>
  <si>
    <t xml:space="preserve">differential: </t>
  </si>
  <si>
    <t>state data</t>
  </si>
  <si>
    <t>2003 data</t>
  </si>
  <si>
    <t>2015 data</t>
  </si>
  <si>
    <t>growth factor</t>
  </si>
  <si>
    <t>Nigeria Poultry population estimate data, 2006-2016</t>
  </si>
  <si>
    <t>year</t>
  </si>
  <si>
    <t xml:space="preserve">mean average, 2000-2011: </t>
  </si>
  <si>
    <t>states</t>
  </si>
  <si>
    <t>Akwa Ibom</t>
  </si>
  <si>
    <t>Abia</t>
  </si>
  <si>
    <t>Adamawa</t>
  </si>
  <si>
    <t>Anambra</t>
  </si>
  <si>
    <t>Bauchi</t>
  </si>
  <si>
    <t>Bayelsa</t>
  </si>
  <si>
    <t>Benue</t>
  </si>
  <si>
    <t>Borno</t>
  </si>
  <si>
    <t>Cross River</t>
  </si>
  <si>
    <t>Delta</t>
  </si>
  <si>
    <t>Ebonyi</t>
  </si>
  <si>
    <t>Edo</t>
  </si>
  <si>
    <t>Ekiti</t>
  </si>
  <si>
    <t>Enugu</t>
  </si>
  <si>
    <t>FCT</t>
  </si>
  <si>
    <t>Gombe</t>
  </si>
  <si>
    <t>Imo</t>
  </si>
  <si>
    <t>Jigawa</t>
  </si>
  <si>
    <t>Kaduna</t>
  </si>
  <si>
    <t>Kano</t>
  </si>
  <si>
    <t>Katsina</t>
  </si>
  <si>
    <t>Kebbi</t>
  </si>
  <si>
    <t>Kogi</t>
  </si>
  <si>
    <t>Kwara</t>
  </si>
  <si>
    <t>Lagos</t>
  </si>
  <si>
    <t>Nassarawa</t>
  </si>
  <si>
    <t>Niger</t>
  </si>
  <si>
    <t>Ogun</t>
  </si>
  <si>
    <t>Ondo</t>
  </si>
  <si>
    <t>Osun</t>
  </si>
  <si>
    <t>Oyo</t>
  </si>
  <si>
    <t>Plateau</t>
  </si>
  <si>
    <t>Rivers</t>
  </si>
  <si>
    <t>Sokoto</t>
  </si>
  <si>
    <t>Taraba</t>
  </si>
  <si>
    <t>Yobe</t>
  </si>
  <si>
    <t>Zamfara</t>
  </si>
  <si>
    <t>Total</t>
  </si>
  <si>
    <t>Total poultry pop.</t>
  </si>
  <si>
    <t xml:space="preserve"> </t>
  </si>
  <si>
    <t>Commercial chicken (40%)</t>
  </si>
  <si>
    <t>comm. Layer and breeder (75%)</t>
  </si>
  <si>
    <t>Broiler/Cockerels</t>
  </si>
  <si>
    <t>comm. Layer is 90%</t>
  </si>
  <si>
    <t>Broiler/Cockerels numbers</t>
  </si>
  <si>
    <t>Assuming that 50% are less than 4 weeks and 50% is mature for market</t>
  </si>
  <si>
    <t>layers in Production 75%</t>
  </si>
  <si>
    <t>Young</t>
  </si>
  <si>
    <t>% hen day production 80%</t>
  </si>
  <si>
    <t>Mature</t>
  </si>
  <si>
    <t>No. Of eggs per annum (x 365)</t>
  </si>
  <si>
    <t>Young broilers/cockerels</t>
  </si>
  <si>
    <t>at $1.52</t>
  </si>
  <si>
    <t>Total No. Of trays (30eggs/tray) per annum</t>
  </si>
  <si>
    <t>Mature broilers/cockerels</t>
  </si>
  <si>
    <t>at $ 7.87</t>
  </si>
  <si>
    <t>USD</t>
  </si>
  <si>
    <t xml:space="preserve"> $3.30 per tray the annual value of eggs (N600-700)</t>
  </si>
  <si>
    <t>Layer breeder 10% of 50561010</t>
  </si>
  <si>
    <t>Layer breeders in production 75%</t>
  </si>
  <si>
    <t>75% egg production HE</t>
  </si>
  <si>
    <t>Chicks</t>
  </si>
  <si>
    <t>80% Hatchability</t>
  </si>
  <si>
    <t>50% are comm pullet</t>
  </si>
  <si>
    <t>pullets expected per annum (365)</t>
  </si>
  <si>
    <t>Av. Pullet price $1.24 (N220-270)</t>
  </si>
  <si>
    <t>Total value of chicks and eggs expected from layer breeders and comm layers per annum</t>
  </si>
  <si>
    <t>Total value of broiler and cockerels per annum</t>
  </si>
  <si>
    <t>GRAND TOTAL OF CHICKS, TABLE EGGS, BROILERS AND COCKERELS PER ANNUM = USD 1,690,229,283.80</t>
  </si>
  <si>
    <t>Indirect</t>
  </si>
  <si>
    <t>Cost of glut</t>
  </si>
  <si>
    <t>Nil*</t>
  </si>
  <si>
    <t>Farmers and the consumers are now refractory to the shock associated with the initial outbreaks of HPAI H5N1 and its economic effects.</t>
  </si>
  <si>
    <t>Intangible costs</t>
  </si>
  <si>
    <t>Replacement costs</t>
  </si>
  <si>
    <t>Commercial layer pullets raising to point of lay</t>
  </si>
  <si>
    <t>total no of layer*N1100 ($5.58)</t>
  </si>
  <si>
    <t>Breder pullets raising to point of lay</t>
  </si>
  <si>
    <t>Total no. Of breeder*N1900 ($9.64)</t>
  </si>
  <si>
    <t>Broiler/cockerel</t>
  </si>
  <si>
    <t>Not calculated because they are short cycled in the farm and are seasonal</t>
  </si>
  <si>
    <t>Downtime costs</t>
  </si>
  <si>
    <t>Total no of commercial flock *3/12*N150 ($0.76)</t>
  </si>
  <si>
    <t>Destruction and disposal costs</t>
  </si>
  <si>
    <t>Compensation</t>
  </si>
  <si>
    <t>For layers and breeders 75% of market value (Mcleod, 2007)</t>
  </si>
  <si>
    <t>For broiler and cockerels 75% of market value (Mcleod, 2007)</t>
  </si>
  <si>
    <t>Total compensation</t>
  </si>
  <si>
    <t>Details of items used for the estimation of losses in the 2016 production year, Nigeria</t>
  </si>
  <si>
    <t>Appendix 1b</t>
  </si>
  <si>
    <t>Appendix 1a</t>
  </si>
  <si>
    <t>Appendix 1c</t>
  </si>
  <si>
    <t>Cost head for the various costs and calculations towards the generation of final costs of comprehensive HPAI H5N1 IDSR activities.</t>
  </si>
  <si>
    <t xml:space="preserve">Personnel </t>
  </si>
  <si>
    <t>Items</t>
  </si>
  <si>
    <t>Number</t>
  </si>
  <si>
    <t>Salary/month (Naira)</t>
  </si>
  <si>
    <t>% time</t>
  </si>
  <si>
    <t>Incentive/per diem/year</t>
  </si>
  <si>
    <t>Reference</t>
  </si>
  <si>
    <t>Director/National Coordinator</t>
  </si>
  <si>
    <t>National_Integrated_Plan_for_AHI-Nigeria.doc</t>
  </si>
  <si>
    <t>UNSIC, 2006</t>
  </si>
  <si>
    <t>State coordinator/Desk officer</t>
  </si>
  <si>
    <t>1*37</t>
  </si>
  <si>
    <t>P</t>
  </si>
  <si>
    <t>State-level staff (technical/surveillance)</t>
  </si>
  <si>
    <t>2*4*37</t>
  </si>
  <si>
    <t>CAHW</t>
  </si>
  <si>
    <t>5 Regional VTH lab staff (5 Professor + 15 senior staff)</t>
  </si>
  <si>
    <t>5*4</t>
  </si>
  <si>
    <t>1 National lab staff (NVRI)</t>
  </si>
  <si>
    <t>1*10</t>
  </si>
  <si>
    <t>Administration staff</t>
  </si>
  <si>
    <t>3+37+776</t>
  </si>
  <si>
    <t>Office Assistant</t>
  </si>
  <si>
    <t>3+2*37</t>
  </si>
  <si>
    <t xml:space="preserve">Driver (National+NVRI+Regional+states) </t>
  </si>
  <si>
    <t>5+5+5+37</t>
  </si>
  <si>
    <t>Pharmacist</t>
  </si>
  <si>
    <t>Store officer (National, NVRI, VTHs and State)</t>
  </si>
  <si>
    <t>5+3+1*5+2*37</t>
  </si>
  <si>
    <t>Accountant (National, NVRI, VTHs, State)</t>
  </si>
  <si>
    <t>3+2+5+37</t>
  </si>
  <si>
    <t xml:space="preserve">Consultant </t>
  </si>
  <si>
    <t>Volunteer</t>
  </si>
  <si>
    <t>Communication expert</t>
  </si>
  <si>
    <t xml:space="preserve">Office </t>
  </si>
  <si>
    <t>Total [$]</t>
  </si>
  <si>
    <t>Naira equivalent</t>
  </si>
  <si>
    <t>Exchange rate</t>
  </si>
  <si>
    <t>Supplies</t>
  </si>
  <si>
    <t>Stationery</t>
  </si>
  <si>
    <t>Printing/copies</t>
  </si>
  <si>
    <t>Computer supplies</t>
  </si>
  <si>
    <t>Other consumables</t>
  </si>
  <si>
    <t>Utilities</t>
  </si>
  <si>
    <t>Communication</t>
  </si>
  <si>
    <t>Electricity</t>
  </si>
  <si>
    <t>Water</t>
  </si>
  <si>
    <t>Gas/Petrol</t>
  </si>
  <si>
    <t>Building and equipment maintenance</t>
  </si>
  <si>
    <t>Plumbing/electric bulbs</t>
  </si>
  <si>
    <t>Building cleaning</t>
  </si>
  <si>
    <t>Building repairs</t>
  </si>
  <si>
    <t>Equipment repairs</t>
  </si>
  <si>
    <t xml:space="preserve">  </t>
  </si>
  <si>
    <t>Building and equipment rental</t>
  </si>
  <si>
    <t>Rented building space</t>
  </si>
  <si>
    <t>Rented equipment</t>
  </si>
  <si>
    <t>Rented furniture</t>
  </si>
  <si>
    <t>Transport operations</t>
  </si>
  <si>
    <t>Incentive/per diem/day</t>
  </si>
  <si>
    <t>Program vehicles</t>
  </si>
  <si>
    <t>utility vehicles (Forty-seven 4X4 vehicles)</t>
  </si>
  <si>
    <t>operational vehicles (2 delivery van, 1 utility car, 2 bus)</t>
  </si>
  <si>
    <t>rent vehicles</t>
  </si>
  <si>
    <t>Motorbikes (despatch)</t>
  </si>
  <si>
    <t>Travelers</t>
  </si>
  <si>
    <t>International travels</t>
  </si>
  <si>
    <t>6trips</t>
  </si>
  <si>
    <t>5 Regional VTH lab staff</t>
  </si>
  <si>
    <t>$10000/consultant</t>
  </si>
  <si>
    <t>Program Vehicles</t>
  </si>
  <si>
    <t>Fuel used (liter)</t>
  </si>
  <si>
    <t>Note</t>
  </si>
  <si>
    <t>Maintenance &amp; reparation cost</t>
  </si>
  <si>
    <t>Taxes &amp; Insurances &amp; Fees</t>
  </si>
  <si>
    <t>Fuel</t>
  </si>
  <si>
    <t>120L*62refils/year*47vehicles*N97</t>
  </si>
  <si>
    <t>10% vehicle cost</t>
  </si>
  <si>
    <t>http://www.globalpetrolprices.com/Nigeria/diesel_prices/</t>
  </si>
  <si>
    <t xml:space="preserve">Operational vehicles (5) </t>
  </si>
  <si>
    <t>80L*52refils/year*5vehicles*N97</t>
  </si>
  <si>
    <t>Global Petrol prices</t>
  </si>
  <si>
    <t>Delivery trucks (2) &amp; 30 ton truck (1)</t>
  </si>
  <si>
    <t>120*104refils*2*N157.6 +1500*26 refils*N157.6</t>
  </si>
  <si>
    <t>Motorbike (despatch) (37)</t>
  </si>
  <si>
    <t>7L*104refils/year*37 motorbikes*N97</t>
  </si>
  <si>
    <t>Service</t>
  </si>
  <si>
    <t>N10000*47*10</t>
  </si>
  <si>
    <t>N10000*5*10</t>
  </si>
  <si>
    <t>Rented vehicles (0)</t>
  </si>
  <si>
    <t>N2500*37*12</t>
  </si>
  <si>
    <t>N6000000/annum</t>
  </si>
  <si>
    <t>N2400000</t>
  </si>
  <si>
    <t>Laboratory operations</t>
  </si>
  <si>
    <t>Laboratory materials</t>
  </si>
  <si>
    <t>purchases, AICP.xls</t>
  </si>
  <si>
    <t>World Bank, 2008</t>
  </si>
  <si>
    <t>Gloves, syringes and needles, pipettes and other lab materials</t>
  </si>
  <si>
    <t>Bulk</t>
  </si>
  <si>
    <t>Laboratory equipment</t>
  </si>
  <si>
    <t>pls compare initial total for lab materials and equipment with new values</t>
  </si>
  <si>
    <t>Sequencer (7), DNA analyser (6), plate reader (6), gel documentation system (6)</t>
  </si>
  <si>
    <t>Laboratory equipments and reagents</t>
  </si>
  <si>
    <t xml:space="preserve">Refrigerators and freezers </t>
  </si>
  <si>
    <t xml:space="preserve">Airconditioners </t>
  </si>
  <si>
    <t>Generator</t>
  </si>
  <si>
    <t>Cold room</t>
  </si>
  <si>
    <t>PCR reagents, ELISA reagent, etc</t>
  </si>
  <si>
    <t>Field reagents and equipments</t>
  </si>
  <si>
    <t>Field sampling materials, manual sprayer, etc</t>
  </si>
  <si>
    <t>CO2 gas, large bin (37), incinerator (1)</t>
  </si>
  <si>
    <t>Disinfectants</t>
  </si>
  <si>
    <t>6650 ltrs</t>
  </si>
  <si>
    <t xml:space="preserve">LBM and farm intervention equipment </t>
  </si>
  <si>
    <t>Cages, transporting materials, catching materials</t>
  </si>
  <si>
    <t>Communication and Media Campaign</t>
  </si>
  <si>
    <t>Salary/month</t>
  </si>
  <si>
    <t>Sensitsation and media</t>
  </si>
  <si>
    <t>Radio</t>
  </si>
  <si>
    <t>Television</t>
  </si>
  <si>
    <t>Newspaper/Print media</t>
  </si>
  <si>
    <t>Wall posters</t>
  </si>
  <si>
    <t>Hand bills</t>
  </si>
  <si>
    <t>T-shirts and caps</t>
  </si>
  <si>
    <t>Public address system</t>
  </si>
  <si>
    <t>Mobilisation and sensitisation</t>
  </si>
  <si>
    <t>Town criers</t>
  </si>
  <si>
    <t xml:space="preserve">Jingles </t>
  </si>
  <si>
    <t>sign post</t>
  </si>
  <si>
    <t>Communication for behavioural change</t>
  </si>
  <si>
    <t>Awareness meetings, behavioural change, biosecurity training, school and community training, dramas and jingles and engagements</t>
  </si>
  <si>
    <t>Capital investment</t>
  </si>
  <si>
    <t>Building infrastrctures</t>
  </si>
  <si>
    <t>1 building at  @ Abuja</t>
  </si>
  <si>
    <t>1*200000000</t>
  </si>
  <si>
    <t>2 room office x 36 (strenghtening of capacities</t>
  </si>
  <si>
    <t>72 *2000000</t>
  </si>
  <si>
    <t>Laboratories (5 VTH lab + 25 NVRI national, regional &amp; state labs)</t>
  </si>
  <si>
    <t>30*5000000</t>
  </si>
  <si>
    <t>Surveillance stations (12, based on Brown et al., 2015)</t>
  </si>
  <si>
    <t>25000000*12</t>
  </si>
  <si>
    <t>Brown et al., 2015, (to optimize for speed and accuracy of detection of cases)</t>
  </si>
  <si>
    <t>utility vehicles</t>
  </si>
  <si>
    <t>operational vehicles</t>
  </si>
  <si>
    <t>Despatch Motorbikes</t>
  </si>
  <si>
    <t>Delivery vehicles</t>
  </si>
  <si>
    <t>N4760000*2 + N26530000</t>
  </si>
  <si>
    <t>Office equipments</t>
  </si>
  <si>
    <t>Desktop Computer/Type writer</t>
  </si>
  <si>
    <t>Laserjet printer</t>
  </si>
  <si>
    <t>photocopy machine</t>
  </si>
  <si>
    <t>Tablesand chairs</t>
  </si>
  <si>
    <t>staplers and rulers</t>
  </si>
  <si>
    <t>Laboratory equipments</t>
  </si>
  <si>
    <t>microscope</t>
  </si>
  <si>
    <t>media refrigerators</t>
  </si>
  <si>
    <t>incubators</t>
  </si>
  <si>
    <t>Poultry population estimate (2016): 168536700</t>
  </si>
  <si>
    <t>Poultry structure: 25% commercial, 15% semi-commercial and 60% backyard</t>
  </si>
  <si>
    <t>Net worth as of 2006: N30b</t>
  </si>
  <si>
    <t>Effect of AH5N1, Nigeria</t>
  </si>
  <si>
    <t>Decline in sales of eggs and chickens: 80% in 2 weeks</t>
  </si>
  <si>
    <t>Recovery by 50%: approximately 4 months</t>
  </si>
  <si>
    <t>Decline in feed sale: 82% in 1 month</t>
  </si>
  <si>
    <t>Recovery by 43%: approximately 4 months</t>
  </si>
  <si>
    <t>Total deaths: 2584875</t>
  </si>
  <si>
    <r>
      <t xml:space="preserve">4 </t>
    </r>
    <r>
      <rPr>
        <sz val="9"/>
        <color theme="1"/>
        <rFont val="Wingdings 2"/>
        <family val="1"/>
        <charset val="2"/>
      </rPr>
      <t>Î</t>
    </r>
    <r>
      <rPr>
        <sz val="9"/>
        <color theme="1"/>
        <rFont val="Calibri"/>
        <family val="2"/>
        <scheme val="minor"/>
      </rPr>
      <t>4 Utility vehicles  (47)</t>
    </r>
  </si>
  <si>
    <t>The World Bank (2008). Nigeria - Avian Influenza Control And Human Pandemic Preparedness And Response Project : Nigeria - Avian Influenza Control And Human Pandemic Preparedness And Response Project : procurement plan (English). Available at: http://web.worldbank.org/external/projects/main?pagePK=51351038&amp;piPK=51351152&amp;theSitePK=40941&amp;projid=P100122. Accessed on 22 March 2016.</t>
  </si>
  <si>
    <t>Appendix 1e</t>
  </si>
  <si>
    <t>Avian Influenza Control &amp; Human Pandemic Preparedness &amp; Response Project table (The World Bank, 2008)</t>
  </si>
  <si>
    <t>United Nations System Influenza Coordination (UNSIC) Office. (2006). Integrated National Avian and Pandemic Influenza  Response Plan - 2007 -2009. Available at: https://www.google.co.za/url?sa=t&amp;rct=j&amp;q=&amp;esrc=s&amp;source=web&amp;cd=3&amp;cad=rja&amp;uact=8&amp;ved=0ahUKEwiJ3oy4ndTLAhUKPxoKHV-SCocQFggnMAI&amp;url=http%3A%2F%2Fwww.un-influenza.org%2Fsites%2Fdefault%2Ffiles%2Ffiles%2FNational_Integrated_Plan_for_AHI-Nigeria.doc&amp;usg=AFQjCNHT2zXiL0PkJSsXC94bsoK5wX65jg&amp;sig2=4W44JafGFunONksNJWztTg. Accessed 20 March 2016</t>
  </si>
  <si>
    <t>Integrated National Avian and Pandemic Influenza Response Plan document :2007 -2009 (UNSIC, 2006)</t>
  </si>
  <si>
    <t>Appendix 1f</t>
  </si>
  <si>
    <t>Global Program for Avian Influenza and Human Pandemic Preparedness and Response (GPAI) (The World Bank, 2006)</t>
  </si>
  <si>
    <t>NigeriaPAD.pdf</t>
  </si>
  <si>
    <t>production, poultry (head) in million</t>
  </si>
  <si>
    <t>Appendix 1d</t>
  </si>
  <si>
    <t>The World Bank. (2006). Global Program for Avian influenza and Human Pandemic Preparedness and Response (GPAI). Available at: http://siteresources.worldbank.org/EXTAVIANFLU/Resources/3124440-1172616767012/NigeriaPAD.pdf. Accessed 26 March 2016</t>
  </si>
  <si>
    <t>Supplementary material 1, Surveillance benefits and costs for HPAI H5N1, Nigeria, 2016</t>
  </si>
  <si>
    <t>state data (poultry populations)</t>
  </si>
  <si>
    <t>Calculation for annual losses and reduction thereof</t>
  </si>
  <si>
    <t>Losses reduces by 50% or surveillance is only 50% effective</t>
  </si>
  <si>
    <t>Personnel cost increased by 20%</t>
  </si>
  <si>
    <t>Transport cost increased by 100%</t>
  </si>
  <si>
    <t>Media cost increased by 25%</t>
  </si>
  <si>
    <t>Laboratory cost increased by 50%</t>
  </si>
  <si>
    <t>Capital cost increased by 200%</t>
  </si>
  <si>
    <t>Overall surveillance cost increased by 100%</t>
  </si>
  <si>
    <t>0verall surveillance cost increased by 150%</t>
  </si>
  <si>
    <t>New BCA</t>
  </si>
  <si>
    <t>%Reduction</t>
  </si>
  <si>
    <t>standard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</si>
</sst>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Wingdings 2"/>
      <family val="1"/>
      <charset val="2"/>
    </font>
    <font>
      <sz val="9"/>
      <name val="Arial"/>
      <family val="2"/>
    </font>
    <font>
      <sz val="20"/>
      <color theme="1"/>
      <name val="Calibri"/>
      <family val="2"/>
      <scheme val="minor"/>
    </font>
    <font>
      <b/>
      <sz val="19"/>
      <color theme="1"/>
      <name val="Calibri"/>
      <family val="2"/>
      <scheme val="minor"/>
    </font>
    <font>
      <sz val="19"/>
      <color theme="1"/>
      <name val="Calibri"/>
      <family val="2"/>
      <scheme val="minor"/>
    </font>
    <font>
      <sz val="9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10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4" xfId="0" applyBorder="1"/>
    <xf numFmtId="0" fontId="0" fillId="0" borderId="5" xfId="0" applyBorder="1"/>
    <xf numFmtId="0" fontId="1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0" xfId="0" applyAlignment="1">
      <alignment horizontal="center"/>
    </xf>
    <xf numFmtId="0" fontId="5" fillId="3" borderId="12" xfId="0" applyFont="1" applyFill="1" applyBorder="1"/>
    <xf numFmtId="0" fontId="5" fillId="3" borderId="5" xfId="0" applyFont="1" applyFill="1" applyBorder="1"/>
    <xf numFmtId="4" fontId="5" fillId="3" borderId="5" xfId="0" applyNumberFormat="1" applyFont="1" applyFill="1" applyBorder="1"/>
    <xf numFmtId="0" fontId="5" fillId="3" borderId="6" xfId="0" applyFont="1" applyFill="1" applyBorder="1"/>
    <xf numFmtId="0" fontId="5" fillId="3" borderId="13" xfId="0" applyFont="1" applyFill="1" applyBorder="1"/>
    <xf numFmtId="0" fontId="5" fillId="3" borderId="7" xfId="0" applyFont="1" applyFill="1" applyBorder="1"/>
    <xf numFmtId="0" fontId="5" fillId="3" borderId="8" xfId="0" applyFont="1" applyFill="1" applyBorder="1"/>
    <xf numFmtId="9" fontId="5" fillId="3" borderId="7" xfId="0" applyNumberFormat="1" applyFont="1" applyFill="1" applyBorder="1"/>
    <xf numFmtId="4" fontId="5" fillId="3" borderId="7" xfId="0" applyNumberFormat="1" applyFont="1" applyFill="1" applyBorder="1"/>
    <xf numFmtId="0" fontId="6" fillId="3" borderId="7" xfId="0" applyFont="1" applyFill="1" applyBorder="1"/>
    <xf numFmtId="0" fontId="5" fillId="3" borderId="14" xfId="0" applyFont="1" applyFill="1" applyBorder="1"/>
    <xf numFmtId="0" fontId="5" fillId="3" borderId="9" xfId="0" applyFont="1" applyFill="1" applyBorder="1"/>
    <xf numFmtId="4" fontId="5" fillId="3" borderId="9" xfId="0" applyNumberFormat="1" applyFont="1" applyFill="1" applyBorder="1"/>
    <xf numFmtId="0" fontId="5" fillId="3" borderId="10" xfId="0" applyFont="1" applyFill="1" applyBorder="1"/>
    <xf numFmtId="0" fontId="7" fillId="0" borderId="0" xfId="1"/>
    <xf numFmtId="0" fontId="5" fillId="0" borderId="0" xfId="0" applyFont="1"/>
    <xf numFmtId="0" fontId="5" fillId="0" borderId="0" xfId="0" applyFont="1" applyAlignment="1">
      <alignment horizontal="center"/>
    </xf>
    <xf numFmtId="0" fontId="8" fillId="0" borderId="4" xfId="0" applyFont="1" applyBorder="1"/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17" xfId="0" applyFont="1" applyBorder="1"/>
    <xf numFmtId="0" fontId="8" fillId="0" borderId="3" xfId="0" applyFont="1" applyBorder="1"/>
    <xf numFmtId="0" fontId="5" fillId="7" borderId="0" xfId="0" applyFont="1" applyFill="1"/>
    <xf numFmtId="0" fontId="5" fillId="8" borderId="7" xfId="0" applyFont="1" applyFill="1" applyBorder="1"/>
    <xf numFmtId="0" fontId="5" fillId="4" borderId="7" xfId="0" applyFont="1" applyFill="1" applyBorder="1"/>
    <xf numFmtId="0" fontId="9" fillId="0" borderId="0" xfId="1" applyFont="1"/>
    <xf numFmtId="0" fontId="10" fillId="0" borderId="0" xfId="0" applyFont="1"/>
    <xf numFmtId="0" fontId="8" fillId="6" borderId="4" xfId="0" applyFont="1" applyFill="1" applyBorder="1"/>
    <xf numFmtId="0" fontId="8" fillId="0" borderId="4" xfId="0" applyFont="1" applyBorder="1" applyAlignment="1">
      <alignment horizontal="center"/>
    </xf>
    <xf numFmtId="0" fontId="5" fillId="2" borderId="0" xfId="0" applyFont="1" applyFill="1"/>
    <xf numFmtId="0" fontId="8" fillId="0" borderId="0" xfId="0" applyFont="1"/>
    <xf numFmtId="0" fontId="8" fillId="7" borderId="0" xfId="0" applyFont="1" applyFill="1"/>
    <xf numFmtId="0" fontId="5" fillId="8" borderId="0" xfId="0" applyFont="1" applyFill="1"/>
    <xf numFmtId="0" fontId="5" fillId="3" borderId="0" xfId="0" applyFont="1" applyFill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10" fillId="0" borderId="0" xfId="0" applyFont="1" applyFill="1" applyBorder="1"/>
    <xf numFmtId="2" fontId="5" fillId="0" borderId="0" xfId="0" applyNumberFormat="1" applyFont="1"/>
    <xf numFmtId="0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3" fontId="5" fillId="2" borderId="0" xfId="0" applyNumberFormat="1" applyFont="1" applyFill="1" applyAlignment="1">
      <alignment horizontal="center"/>
    </xf>
    <xf numFmtId="2" fontId="5" fillId="2" borderId="0" xfId="0" applyNumberFormat="1" applyFont="1" applyFill="1" applyAlignment="1">
      <alignment horizontal="center"/>
    </xf>
    <xf numFmtId="0" fontId="11" fillId="3" borderId="7" xfId="0" applyFont="1" applyFill="1" applyBorder="1" applyAlignment="1">
      <alignment vertical="center"/>
    </xf>
    <xf numFmtId="4" fontId="15" fillId="0" borderId="7" xfId="0" applyNumberFormat="1" applyFont="1" applyBorder="1" applyAlignment="1">
      <alignment horizontal="center"/>
    </xf>
    <xf numFmtId="2" fontId="0" fillId="0" borderId="7" xfId="0" applyNumberFormat="1" applyBorder="1"/>
    <xf numFmtId="0" fontId="15" fillId="0" borderId="7" xfId="0" applyFont="1" applyBorder="1" applyAlignment="1"/>
    <xf numFmtId="0" fontId="0" fillId="0" borderId="7" xfId="0" applyBorder="1" applyAlignment="1"/>
    <xf numFmtId="0" fontId="0" fillId="0" borderId="24" xfId="0" applyBorder="1" applyAlignment="1">
      <alignment wrapText="1"/>
    </xf>
    <xf numFmtId="0" fontId="0" fillId="0" borderId="25" xfId="0" applyBorder="1" applyAlignment="1">
      <alignment wrapText="1"/>
    </xf>
    <xf numFmtId="0" fontId="0" fillId="0" borderId="26" xfId="0" applyBorder="1" applyAlignment="1">
      <alignment wrapText="1"/>
    </xf>
    <xf numFmtId="0" fontId="4" fillId="6" borderId="22" xfId="0" applyFont="1" applyFill="1" applyBorder="1" applyAlignment="1"/>
    <xf numFmtId="0" fontId="1" fillId="0" borderId="0" xfId="0" applyFont="1" applyAlignment="1"/>
    <xf numFmtId="0" fontId="1" fillId="0" borderId="22" xfId="0" applyFont="1" applyBorder="1" applyAlignment="1"/>
    <xf numFmtId="0" fontId="0" fillId="5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3" fillId="3" borderId="16" xfId="0" applyFont="1" applyFill="1" applyBorder="1" applyAlignment="1">
      <alignment horizont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1" xfId="0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0" borderId="16" xfId="0" applyBorder="1" applyAlignment="1">
      <alignment wrapText="1"/>
    </xf>
    <xf numFmtId="0" fontId="2" fillId="3" borderId="16" xfId="0" applyFont="1" applyFill="1" applyBorder="1" applyAlignment="1">
      <alignment horizontal="center" wrapText="1"/>
    </xf>
    <xf numFmtId="0" fontId="12" fillId="0" borderId="17" xfId="0" applyFont="1" applyBorder="1" applyAlignment="1">
      <alignment wrapText="1"/>
    </xf>
    <xf numFmtId="0" fontId="12" fillId="0" borderId="18" xfId="0" applyFont="1" applyBorder="1" applyAlignment="1">
      <alignment wrapText="1"/>
    </xf>
    <xf numFmtId="0" fontId="12" fillId="0" borderId="22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12" fillId="0" borderId="15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12" fillId="0" borderId="20" xfId="0" applyFont="1" applyBorder="1" applyAlignment="1">
      <alignment wrapText="1"/>
    </xf>
    <xf numFmtId="0" fontId="12" fillId="0" borderId="21" xfId="0" applyFont="1" applyBorder="1" applyAlignment="1">
      <alignment wrapText="1"/>
    </xf>
    <xf numFmtId="0" fontId="5" fillId="0" borderId="2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3" fillId="3" borderId="16" xfId="0" applyFont="1" applyFill="1" applyBorder="1" applyAlignment="1">
      <alignment horizontal="center" wrapText="1"/>
    </xf>
    <xf numFmtId="0" fontId="14" fillId="0" borderId="17" xfId="0" applyFont="1" applyBorder="1" applyAlignment="1">
      <alignment wrapText="1"/>
    </xf>
    <xf numFmtId="0" fontId="14" fillId="0" borderId="18" xfId="0" applyFont="1" applyBorder="1" applyAlignment="1">
      <alignment wrapText="1"/>
    </xf>
    <xf numFmtId="0" fontId="14" fillId="0" borderId="22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4" fillId="0" borderId="15" xfId="0" applyFont="1" applyBorder="1" applyAlignment="1">
      <alignment wrapText="1"/>
    </xf>
    <xf numFmtId="0" fontId="14" fillId="0" borderId="19" xfId="0" applyFont="1" applyBorder="1" applyAlignment="1">
      <alignment wrapText="1"/>
    </xf>
    <xf numFmtId="0" fontId="14" fillId="0" borderId="20" xfId="0" applyFont="1" applyBorder="1" applyAlignment="1">
      <alignment wrapText="1"/>
    </xf>
    <xf numFmtId="0" fontId="14" fillId="0" borderId="21" xfId="0" applyFont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3314700</xdr:colOff>
      <xdr:row>228</xdr:row>
      <xdr:rowOff>57150</xdr:rowOff>
    </xdr:from>
    <xdr:to>
      <xdr:col>3</xdr:col>
      <xdr:colOff>438150</xdr:colOff>
      <xdr:row>239</xdr:row>
      <xdr:rowOff>28575</xdr:rowOff>
    </xdr:to>
    <xdr:sp macro="" textlink="">
      <xdr:nvSpPr>
        <xdr:cNvPr id="2" name="Right Brace 1"/>
        <xdr:cNvSpPr/>
      </xdr:nvSpPr>
      <xdr:spPr>
        <a:xfrm>
          <a:off x="4743450" y="20383500"/>
          <a:ext cx="457200" cy="2066925"/>
        </a:xfrm>
        <a:prstGeom prst="rightBrace">
          <a:avLst/>
        </a:prstGeom>
        <a:ln w="254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file:///C:\Users\u01232223\AppData\Local\Temp\purchases,%20AICP.xls" TargetMode="External"/><Relationship Id="rId3" Type="http://schemas.openxmlformats.org/officeDocument/2006/relationships/hyperlink" Target="file:///C:\Users\User\Downloads\National_Integrated_Plan_for_AHI-Nigeria.doc" TargetMode="External"/><Relationship Id="rId7" Type="http://schemas.openxmlformats.org/officeDocument/2006/relationships/hyperlink" Target="file:///C:\Users\user\Downloads\purchases,%20AICP.xl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file:///C:\Users\User\Downloads\National_Integrated_Plan_for_AHI-Nigeria.doc" TargetMode="External"/><Relationship Id="rId1" Type="http://schemas.openxmlformats.org/officeDocument/2006/relationships/hyperlink" Target="file:///C:\Users\User\Downloads\National_Integrated_Plan_for_AHI-Nigeria.doc" TargetMode="External"/><Relationship Id="rId6" Type="http://schemas.openxmlformats.org/officeDocument/2006/relationships/hyperlink" Target="file:///C:\Users\user\Downloads\purchases,%20AICP.xls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file:///C:\Users\user\Downloads\National_Integrated_Plan_for_AHI-Nigeria.doc" TargetMode="External"/><Relationship Id="rId10" Type="http://schemas.openxmlformats.org/officeDocument/2006/relationships/hyperlink" Target="file:///C:\Users\u01232223\AppData\Local\Temp\NigeriaPAD.pdf" TargetMode="External"/><Relationship Id="rId4" Type="http://schemas.openxmlformats.org/officeDocument/2006/relationships/hyperlink" Target="file:///C:\Users\User\Downloads\National_Integrated_Plan_for_AHI-Nigeria.doc" TargetMode="External"/><Relationship Id="rId9" Type="http://schemas.openxmlformats.org/officeDocument/2006/relationships/hyperlink" Target="file:///C:\Users\u01232223\AppData\Local\Temp\National_Integrated_Plan_for_AHI-Nigeria.d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8"/>
  <sheetViews>
    <sheetView tabSelected="1" zoomScaleNormal="100" workbookViewId="0">
      <selection sqref="A1:O2"/>
    </sheetView>
  </sheetViews>
  <sheetFormatPr defaultRowHeight="15" x14ac:dyDescent="0.25"/>
  <cols>
    <col min="5" max="5" width="18.7109375" customWidth="1" collapsed="1"/>
    <col min="6" max="6" width="14.7109375" customWidth="1" collapsed="1"/>
    <col min="12" max="12" width="12.5703125" customWidth="1" collapsed="1"/>
    <col min="19" max="19" width="11" customWidth="1" collapsed="1"/>
  </cols>
  <sheetData>
    <row r="1" spans="1:17" ht="22.5" customHeight="1" x14ac:dyDescent="0.25">
      <c r="A1" s="67" t="s">
        <v>282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17" ht="22.5" customHeight="1" x14ac:dyDescent="0.25">
      <c r="A2" s="69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1:17" ht="15.75" thickBot="1" x14ac:dyDescent="0.3">
      <c r="A3" s="70" t="s">
        <v>101</v>
      </c>
      <c r="B3" s="70"/>
    </row>
    <row r="4" spans="1:17" ht="31.5" customHeight="1" thickBot="1" x14ac:dyDescent="0.5">
      <c r="C4" s="71" t="s">
        <v>7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3"/>
    </row>
    <row r="5" spans="1:17" ht="15.75" thickBot="1" x14ac:dyDescent="0.3"/>
    <row r="6" spans="1:17" ht="15.75" thickBot="1" x14ac:dyDescent="0.3">
      <c r="G6" s="85" t="s">
        <v>3</v>
      </c>
      <c r="H6" s="72"/>
      <c r="I6" s="72"/>
      <c r="J6" s="72"/>
      <c r="K6" s="73"/>
    </row>
    <row r="7" spans="1:17" x14ac:dyDescent="0.25">
      <c r="B7" s="7" t="s">
        <v>8</v>
      </c>
      <c r="C7">
        <v>2006</v>
      </c>
      <c r="D7">
        <v>2007</v>
      </c>
      <c r="E7">
        <v>2008</v>
      </c>
      <c r="F7">
        <v>2009</v>
      </c>
      <c r="G7">
        <v>2010</v>
      </c>
      <c r="H7">
        <v>2011</v>
      </c>
      <c r="I7">
        <v>2012</v>
      </c>
      <c r="J7">
        <v>2013</v>
      </c>
      <c r="K7">
        <v>2014</v>
      </c>
      <c r="L7">
        <v>2015</v>
      </c>
      <c r="M7">
        <v>2016</v>
      </c>
    </row>
    <row r="8" spans="1:17" x14ac:dyDescent="0.25">
      <c r="B8" s="7" t="s">
        <v>279</v>
      </c>
      <c r="C8" s="1">
        <v>158.4</v>
      </c>
      <c r="D8" s="1">
        <v>166.12</v>
      </c>
      <c r="E8" s="1">
        <v>174.43</v>
      </c>
      <c r="F8" s="1">
        <v>183.16</v>
      </c>
      <c r="G8" s="1">
        <v>192.31</v>
      </c>
      <c r="H8" s="1">
        <v>148.88999999999999</v>
      </c>
      <c r="I8" s="1">
        <v>159.25</v>
      </c>
      <c r="J8" s="1">
        <v>165</v>
      </c>
      <c r="K8" s="1">
        <f t="shared" ref="K8:M8" si="0">J8*K9</f>
        <v>166.17058658390997</v>
      </c>
      <c r="L8" s="2">
        <f t="shared" si="0"/>
        <v>167.34947785236798</v>
      </c>
      <c r="M8" s="1">
        <f t="shared" si="0"/>
        <v>168.53673272266084</v>
      </c>
    </row>
    <row r="9" spans="1:17" x14ac:dyDescent="0.25">
      <c r="B9" s="7"/>
      <c r="D9">
        <f>D8/C8</f>
        <v>1.0487373737373737</v>
      </c>
      <c r="E9">
        <f t="shared" ref="E9:J9" si="1">E8/D8</f>
        <v>1.0500240789790514</v>
      </c>
      <c r="F9">
        <f t="shared" si="1"/>
        <v>1.0500487301496302</v>
      </c>
      <c r="G9">
        <f t="shared" si="1"/>
        <v>1.0499563223411226</v>
      </c>
      <c r="H9">
        <f t="shared" si="1"/>
        <v>0.77421870937548742</v>
      </c>
      <c r="I9">
        <f t="shared" si="1"/>
        <v>1.069581570286789</v>
      </c>
      <c r="J9">
        <f t="shared" si="1"/>
        <v>1.0361067503924646</v>
      </c>
      <c r="K9">
        <v>1.0070944641449089</v>
      </c>
      <c r="L9">
        <v>1.0070944641449089</v>
      </c>
      <c r="M9">
        <v>1.0070944641449089</v>
      </c>
    </row>
    <row r="10" spans="1:17" ht="15.75" thickBot="1" x14ac:dyDescent="0.3">
      <c r="B10" s="7"/>
      <c r="D10" t="s">
        <v>0</v>
      </c>
      <c r="E10" t="s">
        <v>0</v>
      </c>
      <c r="F10" t="s">
        <v>0</v>
      </c>
      <c r="G10" t="s">
        <v>0</v>
      </c>
      <c r="H10" t="s">
        <v>1</v>
      </c>
      <c r="I10" t="s">
        <v>0</v>
      </c>
      <c r="J10" t="s">
        <v>0</v>
      </c>
      <c r="K10" t="s">
        <v>0</v>
      </c>
      <c r="L10" t="s">
        <v>0</v>
      </c>
      <c r="M10" t="s">
        <v>0</v>
      </c>
      <c r="O10" t="s">
        <v>2</v>
      </c>
      <c r="Q10">
        <f>(L8-165)/165</f>
        <v>1.4239259711321107E-2</v>
      </c>
    </row>
    <row r="11" spans="1:17" ht="15.75" thickBot="1" x14ac:dyDescent="0.3">
      <c r="B11" s="7" t="s">
        <v>9</v>
      </c>
      <c r="E11" s="3">
        <f>(D9+E9+F9+G9+H9+I9)/6</f>
        <v>1.0070944641449089</v>
      </c>
    </row>
    <row r="12" spans="1:17" ht="15.75" thickBot="1" x14ac:dyDescent="0.3"/>
    <row r="13" spans="1:17" ht="15.75" thickBot="1" x14ac:dyDescent="0.3">
      <c r="F13" s="86" t="s">
        <v>283</v>
      </c>
      <c r="G13" s="87"/>
      <c r="H13" s="87"/>
      <c r="I13" s="87"/>
      <c r="J13" s="88"/>
    </row>
    <row r="14" spans="1:17" ht="15.75" thickBot="1" x14ac:dyDescent="0.3">
      <c r="B14" s="11" t="s">
        <v>10</v>
      </c>
      <c r="C14" t="s">
        <v>4</v>
      </c>
      <c r="L14" s="4" t="s">
        <v>5</v>
      </c>
    </row>
    <row r="15" spans="1:17" ht="15.75" thickBot="1" x14ac:dyDescent="0.3">
      <c r="B15" s="12" t="s">
        <v>11</v>
      </c>
      <c r="C15" s="4">
        <v>3.04983</v>
      </c>
      <c r="D15" s="4"/>
      <c r="E15" s="4"/>
      <c r="F15" s="4"/>
      <c r="G15" s="4"/>
      <c r="H15" s="4"/>
      <c r="I15" s="4"/>
      <c r="J15" s="4"/>
      <c r="K15" s="4">
        <v>1.1984403018535552</v>
      </c>
      <c r="L15" s="5">
        <f>C15*K15</f>
        <v>3.6550391858020284</v>
      </c>
      <c r="M15" s="4"/>
      <c r="N15" s="6"/>
    </row>
    <row r="16" spans="1:17" ht="15.75" thickBot="1" x14ac:dyDescent="0.3">
      <c r="B16" s="13" t="s">
        <v>12</v>
      </c>
      <c r="C16" s="7">
        <v>1.409389</v>
      </c>
      <c r="D16" s="7"/>
      <c r="E16" s="7"/>
      <c r="F16" s="7"/>
      <c r="G16" s="7"/>
      <c r="H16" s="7"/>
      <c r="I16" s="7"/>
      <c r="J16" s="7"/>
      <c r="K16" s="4">
        <v>1.1984403018535552</v>
      </c>
      <c r="L16" s="5">
        <f t="shared" ref="L16:L51" si="2">C16*K16</f>
        <v>1.6890685785890804</v>
      </c>
      <c r="M16" s="7"/>
      <c r="N16" s="8"/>
    </row>
    <row r="17" spans="2:14" ht="15.75" thickBot="1" x14ac:dyDescent="0.3">
      <c r="B17" s="13" t="s">
        <v>13</v>
      </c>
      <c r="C17" s="7">
        <v>4.1272880000000001</v>
      </c>
      <c r="D17" s="7"/>
      <c r="E17" s="7"/>
      <c r="F17" s="7"/>
      <c r="G17" s="7"/>
      <c r="H17" s="7"/>
      <c r="I17" s="7"/>
      <c r="J17" s="7"/>
      <c r="K17" s="4">
        <v>1.1984403018535552</v>
      </c>
      <c r="L17" s="5">
        <f t="shared" si="2"/>
        <v>4.9463082765565565</v>
      </c>
      <c r="M17" s="7"/>
      <c r="N17" s="8"/>
    </row>
    <row r="18" spans="2:14" ht="15.75" thickBot="1" x14ac:dyDescent="0.3">
      <c r="B18" s="13" t="s">
        <v>14</v>
      </c>
      <c r="C18" s="7">
        <v>2.7321390000000001</v>
      </c>
      <c r="D18" s="7"/>
      <c r="E18" s="7"/>
      <c r="F18" s="7"/>
      <c r="G18" s="7"/>
      <c r="H18" s="7"/>
      <c r="I18" s="7"/>
      <c r="J18" s="7"/>
      <c r="K18" s="4">
        <v>1.1984403018535552</v>
      </c>
      <c r="L18" s="5">
        <f t="shared" si="2"/>
        <v>3.2743054878658704</v>
      </c>
      <c r="M18" s="7"/>
      <c r="N18" s="8"/>
    </row>
    <row r="19" spans="2:14" ht="15.75" thickBot="1" x14ac:dyDescent="0.3">
      <c r="B19" s="13" t="s">
        <v>15</v>
      </c>
      <c r="C19" s="7">
        <v>11.678756</v>
      </c>
      <c r="D19" s="7"/>
      <c r="E19" s="7"/>
      <c r="F19" s="7"/>
      <c r="G19" s="7"/>
      <c r="H19" s="7"/>
      <c r="I19" s="7"/>
      <c r="J19" s="7"/>
      <c r="K19" s="4">
        <v>1.1984403018535552</v>
      </c>
      <c r="L19" s="5">
        <f t="shared" si="2"/>
        <v>13.996291865914019</v>
      </c>
      <c r="M19" s="7"/>
      <c r="N19" s="8"/>
    </row>
    <row r="20" spans="2:14" ht="15.75" thickBot="1" x14ac:dyDescent="0.3">
      <c r="B20" s="13" t="s">
        <v>16</v>
      </c>
      <c r="C20" s="7">
        <v>0.99119500000000005</v>
      </c>
      <c r="D20" s="7"/>
      <c r="E20" s="7"/>
      <c r="F20" s="7"/>
      <c r="G20" s="7"/>
      <c r="H20" s="7"/>
      <c r="I20" s="7"/>
      <c r="J20" s="7"/>
      <c r="K20" s="4">
        <v>1.1984403018535552</v>
      </c>
      <c r="L20" s="5">
        <f t="shared" si="2"/>
        <v>1.1878880349957348</v>
      </c>
      <c r="M20" s="7"/>
      <c r="N20" s="8"/>
    </row>
    <row r="21" spans="2:14" ht="15.75" thickBot="1" x14ac:dyDescent="0.3">
      <c r="B21" s="13" t="s">
        <v>17</v>
      </c>
      <c r="C21" s="7">
        <v>6.7350409999999998</v>
      </c>
      <c r="D21" s="7"/>
      <c r="E21" s="7"/>
      <c r="F21" s="7"/>
      <c r="G21" s="7"/>
      <c r="H21" s="7"/>
      <c r="I21" s="7"/>
      <c r="J21" s="7"/>
      <c r="K21" s="4">
        <v>1.1984403018535552</v>
      </c>
      <c r="L21" s="5">
        <f t="shared" si="2"/>
        <v>8.071544569036071</v>
      </c>
      <c r="M21" s="7"/>
      <c r="N21" s="8"/>
    </row>
    <row r="22" spans="2:14" ht="15.75" thickBot="1" x14ac:dyDescent="0.3">
      <c r="B22" s="13" t="s">
        <v>18</v>
      </c>
      <c r="C22" s="7">
        <v>5.8455079999999997</v>
      </c>
      <c r="D22" s="7"/>
      <c r="E22" s="7"/>
      <c r="F22" s="7"/>
      <c r="G22" s="7"/>
      <c r="H22" s="7"/>
      <c r="I22" s="7"/>
      <c r="J22" s="7"/>
      <c r="K22" s="4">
        <v>1.1984403018535552</v>
      </c>
      <c r="L22" s="5">
        <f t="shared" si="2"/>
        <v>7.0054923720073718</v>
      </c>
      <c r="M22" s="7"/>
      <c r="N22" s="8"/>
    </row>
    <row r="23" spans="2:14" ht="15.75" thickBot="1" x14ac:dyDescent="0.3">
      <c r="B23" s="13" t="s">
        <v>19</v>
      </c>
      <c r="C23" s="7">
        <v>1.2707630000000001</v>
      </c>
      <c r="D23" s="7"/>
      <c r="E23" s="7"/>
      <c r="F23" s="7"/>
      <c r="G23" s="7"/>
      <c r="H23" s="7"/>
      <c r="I23" s="7"/>
      <c r="J23" s="7"/>
      <c r="K23" s="4">
        <v>1.1984403018535552</v>
      </c>
      <c r="L23" s="5">
        <f t="shared" si="2"/>
        <v>1.5229335933043295</v>
      </c>
      <c r="M23" s="7"/>
      <c r="N23" s="8"/>
    </row>
    <row r="24" spans="2:14" ht="15.75" thickBot="1" x14ac:dyDescent="0.3">
      <c r="B24" s="13" t="s">
        <v>20</v>
      </c>
      <c r="C24" s="7">
        <v>2.5923560000000001</v>
      </c>
      <c r="D24" s="7"/>
      <c r="E24" s="7"/>
      <c r="F24" s="7"/>
      <c r="G24" s="7"/>
      <c r="H24" s="7"/>
      <c r="I24" s="7"/>
      <c r="J24" s="7"/>
      <c r="K24" s="4">
        <v>1.1984403018535552</v>
      </c>
      <c r="L24" s="5">
        <f t="shared" si="2"/>
        <v>3.106783907151875</v>
      </c>
      <c r="M24" s="7"/>
      <c r="N24" s="8"/>
    </row>
    <row r="25" spans="2:14" ht="15.75" thickBot="1" x14ac:dyDescent="0.3">
      <c r="B25" s="13" t="s">
        <v>21</v>
      </c>
      <c r="C25" s="7">
        <v>5.8898469999999996</v>
      </c>
      <c r="D25" s="7"/>
      <c r="E25" s="7"/>
      <c r="F25" s="7"/>
      <c r="G25" s="7"/>
      <c r="H25" s="7"/>
      <c r="I25" s="7"/>
      <c r="J25" s="7"/>
      <c r="K25" s="4">
        <v>1.1984403018535552</v>
      </c>
      <c r="L25" s="5">
        <f t="shared" si="2"/>
        <v>7.0586300165512563</v>
      </c>
      <c r="M25" s="7"/>
      <c r="N25" s="8"/>
    </row>
    <row r="26" spans="2:14" ht="15.75" thickBot="1" x14ac:dyDescent="0.3">
      <c r="B26" s="13" t="s">
        <v>22</v>
      </c>
      <c r="C26" s="7">
        <v>1.23264</v>
      </c>
      <c r="D26" s="7"/>
      <c r="E26" s="7"/>
      <c r="F26" s="7"/>
      <c r="G26" s="7"/>
      <c r="H26" s="7"/>
      <c r="I26" s="7"/>
      <c r="J26" s="7"/>
      <c r="K26" s="4">
        <v>1.1984403018535552</v>
      </c>
      <c r="L26" s="5">
        <f t="shared" si="2"/>
        <v>1.4772454536767663</v>
      </c>
      <c r="M26" s="7"/>
      <c r="N26" s="8"/>
    </row>
    <row r="27" spans="2:14" ht="15.75" thickBot="1" x14ac:dyDescent="0.3">
      <c r="B27" s="13" t="s">
        <v>23</v>
      </c>
      <c r="C27" s="7">
        <v>2.9227539999999999</v>
      </c>
      <c r="D27" s="7"/>
      <c r="E27" s="7"/>
      <c r="F27" s="7"/>
      <c r="G27" s="7"/>
      <c r="H27" s="7"/>
      <c r="I27" s="7"/>
      <c r="J27" s="7"/>
      <c r="K27" s="4">
        <v>1.1984403018535552</v>
      </c>
      <c r="L27" s="5">
        <f t="shared" si="2"/>
        <v>3.5027461860036859</v>
      </c>
      <c r="M27" s="7"/>
      <c r="N27" s="8"/>
    </row>
    <row r="28" spans="2:14" ht="15.75" thickBot="1" x14ac:dyDescent="0.3">
      <c r="B28" s="13" t="s">
        <v>24</v>
      </c>
      <c r="C28" s="7">
        <v>3.7233260000000001</v>
      </c>
      <c r="D28" s="7"/>
      <c r="E28" s="7"/>
      <c r="F28" s="7"/>
      <c r="G28" s="7"/>
      <c r="H28" s="7"/>
      <c r="I28" s="7"/>
      <c r="J28" s="7"/>
      <c r="K28" s="4">
        <v>1.1984403018535552</v>
      </c>
      <c r="L28" s="5">
        <f t="shared" si="2"/>
        <v>4.4621839353391906</v>
      </c>
      <c r="M28" s="7"/>
      <c r="N28" s="8"/>
    </row>
    <row r="29" spans="2:14" ht="15.75" thickBot="1" x14ac:dyDescent="0.3">
      <c r="B29" s="13" t="s">
        <v>25</v>
      </c>
      <c r="C29" s="7">
        <v>3.8122880000000001</v>
      </c>
      <c r="D29" s="7"/>
      <c r="E29" s="7"/>
      <c r="F29" s="7"/>
      <c r="G29" s="7"/>
      <c r="H29" s="7"/>
      <c r="I29" s="7"/>
      <c r="J29" s="7"/>
      <c r="K29" s="4">
        <v>1.1984403018535552</v>
      </c>
      <c r="L29" s="5">
        <f t="shared" si="2"/>
        <v>4.5687995814726863</v>
      </c>
      <c r="M29" s="7"/>
      <c r="N29" s="8"/>
    </row>
    <row r="30" spans="2:14" ht="15.75" thickBot="1" x14ac:dyDescent="0.3">
      <c r="B30" s="13" t="s">
        <v>26</v>
      </c>
      <c r="C30" s="7">
        <v>0.50830500000000001</v>
      </c>
      <c r="D30" s="7"/>
      <c r="E30" s="7"/>
      <c r="F30" s="7"/>
      <c r="G30" s="7"/>
      <c r="H30" s="7"/>
      <c r="I30" s="7"/>
      <c r="J30" s="7"/>
      <c r="K30" s="4">
        <v>1.1984403018535552</v>
      </c>
      <c r="L30" s="5">
        <f t="shared" si="2"/>
        <v>0.60917319763367139</v>
      </c>
      <c r="M30" s="7"/>
      <c r="N30" s="8"/>
    </row>
    <row r="31" spans="2:14" ht="15.75" thickBot="1" x14ac:dyDescent="0.3">
      <c r="B31" s="13" t="s">
        <v>27</v>
      </c>
      <c r="C31" s="7">
        <v>6.417351</v>
      </c>
      <c r="D31" s="7"/>
      <c r="E31" s="7"/>
      <c r="F31" s="7"/>
      <c r="G31" s="7"/>
      <c r="H31" s="7"/>
      <c r="I31" s="7"/>
      <c r="J31" s="7"/>
      <c r="K31" s="4">
        <v>1.1984403018535552</v>
      </c>
      <c r="L31" s="5">
        <f t="shared" si="2"/>
        <v>7.6908120695402147</v>
      </c>
      <c r="M31" s="7"/>
      <c r="N31" s="8"/>
    </row>
    <row r="32" spans="2:14" ht="15.75" thickBot="1" x14ac:dyDescent="0.3">
      <c r="B32" s="13" t="s">
        <v>28</v>
      </c>
      <c r="C32" s="7">
        <v>4.8288979999999997</v>
      </c>
      <c r="D32" s="7"/>
      <c r="E32" s="7"/>
      <c r="F32" s="7"/>
      <c r="G32" s="7"/>
      <c r="H32" s="7"/>
      <c r="I32" s="7"/>
      <c r="J32" s="7"/>
      <c r="K32" s="4">
        <v>1.1984403018535552</v>
      </c>
      <c r="L32" s="5">
        <f t="shared" si="2"/>
        <v>5.7871459767400291</v>
      </c>
      <c r="M32" s="7"/>
      <c r="N32" s="8"/>
    </row>
    <row r="33" spans="2:14" ht="15.75" thickBot="1" x14ac:dyDescent="0.3">
      <c r="B33" s="13" t="s">
        <v>29</v>
      </c>
      <c r="C33" s="7">
        <v>2.8210929999999999</v>
      </c>
      <c r="D33" s="7"/>
      <c r="E33" s="7"/>
      <c r="F33" s="7"/>
      <c r="G33" s="7"/>
      <c r="H33" s="7"/>
      <c r="I33" s="7"/>
      <c r="J33" s="7"/>
      <c r="K33" s="4">
        <v>1.1984403018535552</v>
      </c>
      <c r="L33" s="5">
        <f t="shared" si="2"/>
        <v>3.3809115464769515</v>
      </c>
      <c r="M33" s="7"/>
      <c r="N33" s="8"/>
    </row>
    <row r="34" spans="2:14" ht="15.75" thickBot="1" x14ac:dyDescent="0.3">
      <c r="B34" s="13" t="s">
        <v>30</v>
      </c>
      <c r="C34" s="7">
        <v>3.8521350000000001</v>
      </c>
      <c r="D34" s="7"/>
      <c r="E34" s="7"/>
      <c r="F34" s="7"/>
      <c r="G34" s="7"/>
      <c r="H34" s="7"/>
      <c r="I34" s="7"/>
      <c r="J34" s="7"/>
      <c r="K34" s="4">
        <v>1.1984403018535552</v>
      </c>
      <c r="L34" s="5">
        <f t="shared" si="2"/>
        <v>4.616553832180645</v>
      </c>
      <c r="M34" s="7"/>
      <c r="N34" s="8"/>
    </row>
    <row r="35" spans="2:14" ht="15.75" thickBot="1" x14ac:dyDescent="0.3">
      <c r="B35" s="13" t="s">
        <v>31</v>
      </c>
      <c r="C35" s="7">
        <v>5.2101259999999998</v>
      </c>
      <c r="D35" s="7"/>
      <c r="E35" s="7"/>
      <c r="F35" s="7"/>
      <c r="G35" s="7"/>
      <c r="H35" s="7"/>
      <c r="I35" s="7"/>
      <c r="J35" s="7"/>
      <c r="K35" s="4">
        <v>1.1984403018535552</v>
      </c>
      <c r="L35" s="5">
        <f t="shared" si="2"/>
        <v>6.2440249761350559</v>
      </c>
      <c r="M35" s="7"/>
      <c r="N35" s="8"/>
    </row>
    <row r="36" spans="2:14" ht="15.75" thickBot="1" x14ac:dyDescent="0.3">
      <c r="B36" s="13" t="s">
        <v>32</v>
      </c>
      <c r="C36" s="7">
        <v>7.6245750000000001</v>
      </c>
      <c r="D36" s="7"/>
      <c r="E36" s="7"/>
      <c r="F36" s="7"/>
      <c r="G36" s="7"/>
      <c r="H36" s="7"/>
      <c r="I36" s="7"/>
      <c r="J36" s="7"/>
      <c r="K36" s="4">
        <v>1.1984403018535552</v>
      </c>
      <c r="L36" s="5">
        <f t="shared" si="2"/>
        <v>9.1375979645050709</v>
      </c>
      <c r="M36" s="7"/>
      <c r="N36" s="8"/>
    </row>
    <row r="37" spans="2:14" ht="15.75" thickBot="1" x14ac:dyDescent="0.3">
      <c r="B37" s="13" t="s">
        <v>33</v>
      </c>
      <c r="C37" s="7">
        <v>3.6852109999999998</v>
      </c>
      <c r="D37" s="7"/>
      <c r="E37" s="7"/>
      <c r="F37" s="7"/>
      <c r="G37" s="7"/>
      <c r="H37" s="7"/>
      <c r="I37" s="7"/>
      <c r="J37" s="7"/>
      <c r="K37" s="4">
        <v>1.1984403018535552</v>
      </c>
      <c r="L37" s="5">
        <f t="shared" si="2"/>
        <v>4.4165053832340417</v>
      </c>
      <c r="M37" s="7"/>
      <c r="N37" s="8"/>
    </row>
    <row r="38" spans="2:14" ht="15.75" thickBot="1" x14ac:dyDescent="0.3">
      <c r="B38" s="13" t="s">
        <v>34</v>
      </c>
      <c r="C38" s="7">
        <v>3.3421050000000001</v>
      </c>
      <c r="D38" s="7"/>
      <c r="E38" s="7"/>
      <c r="F38" s="7"/>
      <c r="G38" s="7"/>
      <c r="H38" s="7"/>
      <c r="I38" s="7"/>
      <c r="J38" s="7"/>
      <c r="K38" s="4">
        <v>1.1984403018535552</v>
      </c>
      <c r="L38" s="5">
        <f t="shared" si="2"/>
        <v>4.0053133250262762</v>
      </c>
      <c r="M38" s="7"/>
      <c r="N38" s="8"/>
    </row>
    <row r="39" spans="2:14" ht="15.75" thickBot="1" x14ac:dyDescent="0.3">
      <c r="B39" s="13" t="s">
        <v>35</v>
      </c>
      <c r="C39" s="7">
        <v>3.1387830000000001</v>
      </c>
      <c r="D39" s="7"/>
      <c r="E39" s="7"/>
      <c r="F39" s="7"/>
      <c r="G39" s="7"/>
      <c r="H39" s="7"/>
      <c r="I39" s="7"/>
      <c r="J39" s="7"/>
      <c r="K39" s="4">
        <v>1.1984403018535552</v>
      </c>
      <c r="L39" s="5">
        <f t="shared" si="2"/>
        <v>3.7616440459728078</v>
      </c>
      <c r="M39" s="7"/>
      <c r="N39" s="8"/>
    </row>
    <row r="40" spans="2:14" ht="15.75" thickBot="1" x14ac:dyDescent="0.3">
      <c r="B40" s="13" t="s">
        <v>36</v>
      </c>
      <c r="C40" s="7">
        <v>0.58455100000000004</v>
      </c>
      <c r="D40" s="7"/>
      <c r="E40" s="7"/>
      <c r="F40" s="7"/>
      <c r="G40" s="7"/>
      <c r="H40" s="7"/>
      <c r="I40" s="7"/>
      <c r="J40" s="7"/>
      <c r="K40" s="4">
        <v>1.1984403018535552</v>
      </c>
      <c r="L40" s="5">
        <f t="shared" si="2"/>
        <v>0.70054947688879765</v>
      </c>
      <c r="M40" s="7"/>
      <c r="N40" s="8"/>
    </row>
    <row r="41" spans="2:14" ht="15.75" thickBot="1" x14ac:dyDescent="0.3">
      <c r="B41" s="13" t="s">
        <v>37</v>
      </c>
      <c r="C41" s="7">
        <v>3.04983</v>
      </c>
      <c r="D41" s="7"/>
      <c r="E41" s="7"/>
      <c r="F41" s="7"/>
      <c r="G41" s="7"/>
      <c r="H41" s="7"/>
      <c r="I41" s="7"/>
      <c r="J41" s="7"/>
      <c r="K41" s="4">
        <v>1.1984403018535552</v>
      </c>
      <c r="L41" s="5">
        <f t="shared" si="2"/>
        <v>3.6550391858020284</v>
      </c>
      <c r="M41" s="7"/>
      <c r="N41" s="8"/>
    </row>
    <row r="42" spans="2:14" ht="15.75" thickBot="1" x14ac:dyDescent="0.3">
      <c r="B42" s="13" t="s">
        <v>38</v>
      </c>
      <c r="C42" s="7">
        <v>3.558135</v>
      </c>
      <c r="D42" s="7"/>
      <c r="E42" s="7"/>
      <c r="F42" s="7"/>
      <c r="G42" s="7"/>
      <c r="H42" s="7"/>
      <c r="I42" s="7"/>
      <c r="J42" s="7"/>
      <c r="K42" s="4">
        <v>1.1984403018535552</v>
      </c>
      <c r="L42" s="5">
        <f t="shared" si="2"/>
        <v>4.2642123834356997</v>
      </c>
      <c r="M42" s="7"/>
      <c r="N42" s="8"/>
    </row>
    <row r="43" spans="2:14" ht="15.75" thickBot="1" x14ac:dyDescent="0.3">
      <c r="B43" s="13" t="s">
        <v>39</v>
      </c>
      <c r="C43" s="7">
        <v>3.3039830000000001</v>
      </c>
      <c r="D43" s="7"/>
      <c r="E43" s="7"/>
      <c r="F43" s="7"/>
      <c r="G43" s="7"/>
      <c r="H43" s="7"/>
      <c r="I43" s="7"/>
      <c r="J43" s="7"/>
      <c r="K43" s="4">
        <v>1.1984403018535552</v>
      </c>
      <c r="L43" s="5">
        <f t="shared" si="2"/>
        <v>3.9596263838390149</v>
      </c>
      <c r="M43" s="7"/>
      <c r="N43" s="8"/>
    </row>
    <row r="44" spans="2:14" ht="15.75" thickBot="1" x14ac:dyDescent="0.3">
      <c r="B44" s="13" t="s">
        <v>40</v>
      </c>
      <c r="C44" s="7">
        <v>3.558135</v>
      </c>
      <c r="D44" s="7"/>
      <c r="E44" s="7"/>
      <c r="F44" s="7"/>
      <c r="G44" s="7"/>
      <c r="H44" s="7"/>
      <c r="I44" s="7"/>
      <c r="J44" s="7"/>
      <c r="K44" s="4">
        <v>1.1984403018535552</v>
      </c>
      <c r="L44" s="5">
        <f t="shared" si="2"/>
        <v>4.2642123834356997</v>
      </c>
      <c r="M44" s="7"/>
      <c r="N44" s="8"/>
    </row>
    <row r="45" spans="2:14" ht="15.75" thickBot="1" x14ac:dyDescent="0.3">
      <c r="B45" s="13" t="s">
        <v>41</v>
      </c>
      <c r="C45" s="7">
        <v>3.1133679999999999</v>
      </c>
      <c r="D45" s="7"/>
      <c r="E45" s="7"/>
      <c r="F45" s="7"/>
      <c r="G45" s="7"/>
      <c r="H45" s="7"/>
      <c r="I45" s="7"/>
      <c r="J45" s="7"/>
      <c r="K45" s="4">
        <v>1.1984403018535552</v>
      </c>
      <c r="L45" s="5">
        <f t="shared" si="2"/>
        <v>3.7311856857011994</v>
      </c>
      <c r="M45" s="7"/>
      <c r="N45" s="8"/>
    </row>
    <row r="46" spans="2:14" ht="15.75" thickBot="1" x14ac:dyDescent="0.3">
      <c r="B46" s="13" t="s">
        <v>42</v>
      </c>
      <c r="C46" s="7">
        <v>3.7995800000000002</v>
      </c>
      <c r="D46" s="7"/>
      <c r="E46" s="7"/>
      <c r="F46" s="7"/>
      <c r="G46" s="7"/>
      <c r="H46" s="7"/>
      <c r="I46" s="7"/>
      <c r="J46" s="7"/>
      <c r="K46" s="4">
        <v>1.1984403018535552</v>
      </c>
      <c r="L46" s="5">
        <f t="shared" si="2"/>
        <v>4.5535698021167317</v>
      </c>
      <c r="M46" s="7"/>
      <c r="N46" s="8"/>
    </row>
    <row r="47" spans="2:14" ht="15.75" thickBot="1" x14ac:dyDescent="0.3">
      <c r="B47" s="13" t="s">
        <v>43</v>
      </c>
      <c r="C47" s="7">
        <v>3.8122880000000001</v>
      </c>
      <c r="D47" s="7"/>
      <c r="E47" s="7"/>
      <c r="F47" s="7"/>
      <c r="G47" s="7"/>
      <c r="H47" s="7"/>
      <c r="I47" s="7"/>
      <c r="J47" s="7"/>
      <c r="K47" s="4">
        <v>1.1984403018535552</v>
      </c>
      <c r="L47" s="5">
        <f t="shared" si="2"/>
        <v>4.5687995814726863</v>
      </c>
      <c r="M47" s="7"/>
      <c r="N47" s="8"/>
    </row>
    <row r="48" spans="2:14" ht="15.75" thickBot="1" x14ac:dyDescent="0.3">
      <c r="B48" s="13" t="s">
        <v>44</v>
      </c>
      <c r="C48" s="7">
        <v>1.4740850000000001</v>
      </c>
      <c r="D48" s="7"/>
      <c r="E48" s="7"/>
      <c r="F48" s="7"/>
      <c r="G48" s="7"/>
      <c r="H48" s="7"/>
      <c r="I48" s="7"/>
      <c r="J48" s="7"/>
      <c r="K48" s="4">
        <v>1.1984403018535552</v>
      </c>
      <c r="L48" s="5">
        <f t="shared" si="2"/>
        <v>1.766602872357798</v>
      </c>
      <c r="M48" s="7"/>
      <c r="N48" s="8"/>
    </row>
    <row r="49" spans="1:26" ht="15.75" thickBot="1" x14ac:dyDescent="0.3">
      <c r="B49" s="13" t="s">
        <v>45</v>
      </c>
      <c r="C49" s="7">
        <v>2.7067239999999999</v>
      </c>
      <c r="D49" s="7"/>
      <c r="E49" s="7"/>
      <c r="F49" s="7"/>
      <c r="G49" s="7"/>
      <c r="H49" s="7"/>
      <c r="I49" s="7"/>
      <c r="J49" s="7"/>
      <c r="K49" s="4">
        <v>1.1984403018535552</v>
      </c>
      <c r="L49" s="5">
        <f t="shared" si="2"/>
        <v>3.2438471275942624</v>
      </c>
      <c r="M49" s="7"/>
      <c r="N49" s="8"/>
    </row>
    <row r="50" spans="1:26" ht="15.75" thickBot="1" x14ac:dyDescent="0.3">
      <c r="B50" s="13" t="s">
        <v>46</v>
      </c>
      <c r="C50" s="7">
        <v>3.4310589999999999</v>
      </c>
      <c r="D50" s="7"/>
      <c r="E50" s="7"/>
      <c r="F50" s="7"/>
      <c r="G50" s="7"/>
      <c r="H50" s="7"/>
      <c r="I50" s="7"/>
      <c r="J50" s="7"/>
      <c r="K50" s="4">
        <v>1.1984403018535552</v>
      </c>
      <c r="L50" s="5">
        <f t="shared" si="2"/>
        <v>4.1119193836373569</v>
      </c>
      <c r="M50" s="7"/>
      <c r="N50" s="8"/>
    </row>
    <row r="51" spans="1:26" ht="15.75" thickBot="1" x14ac:dyDescent="0.3">
      <c r="B51" s="14" t="s">
        <v>47</v>
      </c>
      <c r="C51" s="9">
        <v>5.8455079999999997</v>
      </c>
      <c r="D51" s="9"/>
      <c r="E51" s="9"/>
      <c r="F51" s="9"/>
      <c r="G51" s="9"/>
      <c r="H51" s="9"/>
      <c r="I51" s="9"/>
      <c r="J51" s="9"/>
      <c r="K51" s="4">
        <v>1.1984403018535552</v>
      </c>
      <c r="L51" s="5">
        <f t="shared" si="2"/>
        <v>7.0054923720073718</v>
      </c>
      <c r="M51" s="9"/>
      <c r="N51" s="10"/>
    </row>
    <row r="52" spans="1:26" x14ac:dyDescent="0.25">
      <c r="B52" t="s">
        <v>48</v>
      </c>
      <c r="C52">
        <f>SUM(C15:C51)</f>
        <v>137.67894800000005</v>
      </c>
      <c r="D52">
        <f t="shared" ref="D52:N52" si="3">SUM(D15:D51)</f>
        <v>0</v>
      </c>
      <c r="E52">
        <f t="shared" si="3"/>
        <v>0</v>
      </c>
      <c r="F52">
        <f t="shared" si="3"/>
        <v>0</v>
      </c>
      <c r="G52">
        <f t="shared" si="3"/>
        <v>0</v>
      </c>
      <c r="H52">
        <f t="shared" si="3"/>
        <v>0</v>
      </c>
      <c r="I52">
        <f t="shared" si="3"/>
        <v>0</v>
      </c>
      <c r="J52">
        <f t="shared" si="3"/>
        <v>0</v>
      </c>
      <c r="L52">
        <f t="shared" si="3"/>
        <v>164.99999999999994</v>
      </c>
      <c r="M52">
        <f t="shared" si="3"/>
        <v>0</v>
      </c>
      <c r="N52">
        <f t="shared" si="3"/>
        <v>0</v>
      </c>
    </row>
    <row r="55" spans="1:26" x14ac:dyDescent="0.25">
      <c r="C55" t="s">
        <v>6</v>
      </c>
      <c r="D55">
        <f>165/C52</f>
        <v>1.1984403018535552</v>
      </c>
    </row>
    <row r="58" spans="1:26" x14ac:dyDescent="0.25">
      <c r="A58" s="70" t="s">
        <v>100</v>
      </c>
      <c r="B58" s="70"/>
    </row>
    <row r="59" spans="1:26" ht="15.75" thickBot="1" x14ac:dyDescent="0.3"/>
    <row r="60" spans="1:26" ht="29.25" thickBot="1" x14ac:dyDescent="0.5">
      <c r="A60" s="71" t="s">
        <v>99</v>
      </c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5"/>
    </row>
    <row r="61" spans="1:26" ht="15.75" thickBot="1" x14ac:dyDescent="0.3"/>
    <row r="62" spans="1:26" x14ac:dyDescent="0.25">
      <c r="B62" s="16" t="s">
        <v>49</v>
      </c>
      <c r="C62" s="17"/>
      <c r="D62" s="17">
        <v>168536700</v>
      </c>
      <c r="E62" s="17"/>
      <c r="F62" s="18">
        <f>0.4*D62</f>
        <v>67414680</v>
      </c>
      <c r="G62" s="17" t="s">
        <v>50</v>
      </c>
      <c r="H62" s="17" t="s">
        <v>51</v>
      </c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9"/>
    </row>
    <row r="63" spans="1:26" x14ac:dyDescent="0.25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2"/>
    </row>
    <row r="64" spans="1:26" x14ac:dyDescent="0.25">
      <c r="B64" s="20"/>
      <c r="C64" s="21"/>
      <c r="D64" s="21"/>
      <c r="E64" s="21"/>
      <c r="F64" s="21">
        <f>0.75*F62</f>
        <v>50561010</v>
      </c>
      <c r="G64" s="21"/>
      <c r="H64" s="21" t="s">
        <v>52</v>
      </c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3">
        <v>0.25</v>
      </c>
      <c r="T64" s="21" t="s">
        <v>53</v>
      </c>
      <c r="U64" s="21"/>
      <c r="V64" s="21"/>
      <c r="W64" s="21"/>
      <c r="X64" s="21"/>
      <c r="Y64" s="21"/>
      <c r="Z64" s="22"/>
    </row>
    <row r="65" spans="2:26" x14ac:dyDescent="0.2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2"/>
    </row>
    <row r="66" spans="2:26" x14ac:dyDescent="0.25">
      <c r="B66" s="20"/>
      <c r="C66" s="21"/>
      <c r="D66" s="21"/>
      <c r="E66" s="21"/>
      <c r="F66" s="21">
        <f>0.9*F64</f>
        <v>45504909</v>
      </c>
      <c r="G66" s="21"/>
      <c r="H66" s="21" t="s">
        <v>54</v>
      </c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4">
        <f>0.25*F62</f>
        <v>16853670</v>
      </c>
      <c r="T66" s="21" t="s">
        <v>55</v>
      </c>
      <c r="U66" s="21"/>
      <c r="V66" s="21"/>
      <c r="W66" s="21"/>
      <c r="X66" s="21"/>
      <c r="Y66" s="21"/>
      <c r="Z66" s="22"/>
    </row>
    <row r="67" spans="2:26" x14ac:dyDescent="0.25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5" t="s">
        <v>56</v>
      </c>
      <c r="U67" s="21"/>
      <c r="V67" s="21"/>
      <c r="W67" s="21"/>
      <c r="X67" s="21"/>
      <c r="Y67" s="21"/>
      <c r="Z67" s="22"/>
    </row>
    <row r="68" spans="2:26" x14ac:dyDescent="0.25">
      <c r="B68" s="20"/>
      <c r="C68" s="21"/>
      <c r="D68" s="21"/>
      <c r="E68" s="21"/>
      <c r="F68" s="21">
        <f>0.75*F66</f>
        <v>34128681.75</v>
      </c>
      <c r="G68" s="21"/>
      <c r="H68" s="21" t="s">
        <v>57</v>
      </c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>
        <f>0.5*S66</f>
        <v>8426835</v>
      </c>
      <c r="T68" s="21" t="s">
        <v>58</v>
      </c>
      <c r="U68" s="21"/>
      <c r="V68" s="21"/>
      <c r="W68" s="21"/>
      <c r="X68" s="21"/>
      <c r="Y68" s="21"/>
      <c r="Z68" s="22"/>
    </row>
    <row r="69" spans="2:26" x14ac:dyDescent="0.25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2"/>
    </row>
    <row r="70" spans="2:26" x14ac:dyDescent="0.25">
      <c r="B70" s="20"/>
      <c r="C70" s="21"/>
      <c r="D70" s="21"/>
      <c r="E70" s="21"/>
      <c r="F70" s="21">
        <f>0.8*F68</f>
        <v>27302945.400000002</v>
      </c>
      <c r="G70" s="21"/>
      <c r="H70" s="21" t="s">
        <v>59</v>
      </c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>
        <f>0.5*S66</f>
        <v>8426835</v>
      </c>
      <c r="T70" s="21" t="s">
        <v>60</v>
      </c>
      <c r="U70" s="21"/>
      <c r="V70" s="21"/>
      <c r="W70" s="21"/>
      <c r="X70" s="21"/>
      <c r="Y70" s="21"/>
      <c r="Z70" s="22"/>
    </row>
    <row r="71" spans="2:26" x14ac:dyDescent="0.25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2"/>
    </row>
    <row r="72" spans="2:26" x14ac:dyDescent="0.25">
      <c r="B72" s="20"/>
      <c r="C72" s="21"/>
      <c r="D72" s="21"/>
      <c r="E72" s="21"/>
      <c r="F72" s="21">
        <f>365*F70</f>
        <v>9965575071</v>
      </c>
      <c r="G72" s="21"/>
      <c r="H72" s="21" t="s">
        <v>61</v>
      </c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4">
        <f>1.52*S68</f>
        <v>12808789.199999999</v>
      </c>
      <c r="T72" s="21" t="s">
        <v>62</v>
      </c>
      <c r="U72" s="21"/>
      <c r="V72" s="21"/>
      <c r="W72" s="21" t="s">
        <v>63</v>
      </c>
      <c r="X72" s="21"/>
      <c r="Y72" s="21"/>
      <c r="Z72" s="22"/>
    </row>
    <row r="73" spans="2:26" x14ac:dyDescent="0.25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2"/>
    </row>
    <row r="74" spans="2:26" x14ac:dyDescent="0.25">
      <c r="B74" s="20"/>
      <c r="C74" s="21"/>
      <c r="D74" s="21"/>
      <c r="E74" s="21"/>
      <c r="F74" s="21">
        <f>F72/30</f>
        <v>332185835.69999999</v>
      </c>
      <c r="G74" s="21"/>
      <c r="H74" s="21" t="s">
        <v>64</v>
      </c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4">
        <f>7.87*S70</f>
        <v>66319191.450000003</v>
      </c>
      <c r="T74" s="21" t="s">
        <v>65</v>
      </c>
      <c r="U74" s="21"/>
      <c r="V74" s="21"/>
      <c r="W74" s="21" t="s">
        <v>66</v>
      </c>
      <c r="X74" s="21"/>
      <c r="Y74" s="21"/>
      <c r="Z74" s="22"/>
    </row>
    <row r="75" spans="2:26" x14ac:dyDescent="0.25">
      <c r="B75" s="2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2"/>
    </row>
    <row r="76" spans="2:26" x14ac:dyDescent="0.25">
      <c r="B76" s="20"/>
      <c r="C76" s="21"/>
      <c r="D76" s="21"/>
      <c r="E76" s="21" t="s">
        <v>67</v>
      </c>
      <c r="F76" s="24">
        <f>3.3*F74</f>
        <v>1096213257.8099999</v>
      </c>
      <c r="G76" s="21"/>
      <c r="H76" s="21" t="s">
        <v>68</v>
      </c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2"/>
    </row>
    <row r="77" spans="2:26" x14ac:dyDescent="0.25">
      <c r="B77" s="2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2"/>
    </row>
    <row r="78" spans="2:26" x14ac:dyDescent="0.25">
      <c r="B78" s="20"/>
      <c r="C78" s="21"/>
      <c r="D78" s="21"/>
      <c r="E78" s="21"/>
      <c r="F78" s="21">
        <f>0.1*F64</f>
        <v>5056101</v>
      </c>
      <c r="G78" s="21"/>
      <c r="H78" s="21" t="s">
        <v>69</v>
      </c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2"/>
    </row>
    <row r="79" spans="2:26" x14ac:dyDescent="0.25">
      <c r="B79" s="2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2"/>
    </row>
    <row r="80" spans="2:26" x14ac:dyDescent="0.25">
      <c r="B80" s="20"/>
      <c r="C80" s="21"/>
      <c r="D80" s="21"/>
      <c r="E80" s="21"/>
      <c r="F80" s="21">
        <f>0.75*F78</f>
        <v>3792075.75</v>
      </c>
      <c r="G80" s="21"/>
      <c r="H80" s="21" t="s">
        <v>70</v>
      </c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2"/>
    </row>
    <row r="81" spans="2:26" x14ac:dyDescent="0.25">
      <c r="B81" s="2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2"/>
    </row>
    <row r="82" spans="2:26" x14ac:dyDescent="0.25">
      <c r="B82" s="20"/>
      <c r="C82" s="21"/>
      <c r="D82" s="21"/>
      <c r="E82" s="21"/>
      <c r="F82" s="21">
        <f>0.75*F80</f>
        <v>2844056.8125</v>
      </c>
      <c r="G82" s="21"/>
      <c r="H82" s="21" t="s">
        <v>71</v>
      </c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2"/>
    </row>
    <row r="83" spans="2:26" x14ac:dyDescent="0.25">
      <c r="B83" s="2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2"/>
    </row>
    <row r="84" spans="2:26" x14ac:dyDescent="0.25">
      <c r="B84" s="20"/>
      <c r="C84" s="21"/>
      <c r="D84" s="21" t="s">
        <v>72</v>
      </c>
      <c r="E84" s="21"/>
      <c r="F84" s="21">
        <f>0.8*F82</f>
        <v>2275245.4500000002</v>
      </c>
      <c r="G84" s="21"/>
      <c r="H84" s="21" t="s">
        <v>73</v>
      </c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2"/>
    </row>
    <row r="85" spans="2:26" x14ac:dyDescent="0.25">
      <c r="B85" s="2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2"/>
    </row>
    <row r="86" spans="2:26" x14ac:dyDescent="0.25">
      <c r="B86" s="20"/>
      <c r="C86" s="21"/>
      <c r="D86" s="21"/>
      <c r="E86" s="21"/>
      <c r="F86" s="21">
        <f>0.5*F84</f>
        <v>1137622.7250000001</v>
      </c>
      <c r="G86" s="21"/>
      <c r="H86" s="21" t="s">
        <v>74</v>
      </c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2"/>
    </row>
    <row r="87" spans="2:26" x14ac:dyDescent="0.25"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2"/>
    </row>
    <row r="88" spans="2:26" x14ac:dyDescent="0.25">
      <c r="B88" s="20"/>
      <c r="C88" s="21"/>
      <c r="D88" s="21"/>
      <c r="E88" s="21"/>
      <c r="F88" s="21">
        <f>365*F86</f>
        <v>415232294.62500006</v>
      </c>
      <c r="G88" s="21"/>
      <c r="H88" s="21" t="s">
        <v>75</v>
      </c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2"/>
    </row>
    <row r="89" spans="2:26" x14ac:dyDescent="0.25">
      <c r="B89" s="2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2"/>
    </row>
    <row r="90" spans="2:26" x14ac:dyDescent="0.25">
      <c r="B90" s="20"/>
      <c r="C90" s="21"/>
      <c r="D90" s="21"/>
      <c r="E90" s="21" t="s">
        <v>67</v>
      </c>
      <c r="F90" s="24">
        <f>1.24*F88</f>
        <v>514888045.3350001</v>
      </c>
      <c r="G90" s="21"/>
      <c r="H90" s="21" t="s">
        <v>76</v>
      </c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2"/>
    </row>
    <row r="91" spans="2:26" x14ac:dyDescent="0.25">
      <c r="B91" s="2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2"/>
    </row>
    <row r="92" spans="2:26" x14ac:dyDescent="0.25">
      <c r="B92" s="20"/>
      <c r="C92" s="21"/>
      <c r="D92" s="21"/>
      <c r="E92" s="21" t="s">
        <v>67</v>
      </c>
      <c r="F92" s="24">
        <f>F90+F76</f>
        <v>1611101303.145</v>
      </c>
      <c r="G92" s="21"/>
      <c r="H92" s="21" t="s">
        <v>77</v>
      </c>
      <c r="I92" s="21"/>
      <c r="J92" s="21"/>
      <c r="K92" s="21"/>
      <c r="L92" s="21"/>
      <c r="M92" s="21"/>
      <c r="N92" s="21"/>
      <c r="O92" s="21"/>
      <c r="P92" s="21"/>
      <c r="Q92" s="21"/>
      <c r="R92" s="21" t="s">
        <v>67</v>
      </c>
      <c r="S92" s="24">
        <f>S72+S74</f>
        <v>79127980.650000006</v>
      </c>
      <c r="T92" s="21"/>
      <c r="U92" s="21" t="s">
        <v>78</v>
      </c>
      <c r="V92" s="21"/>
      <c r="W92" s="21"/>
      <c r="X92" s="21"/>
      <c r="Y92" s="21"/>
      <c r="Z92" s="22"/>
    </row>
    <row r="93" spans="2:26" x14ac:dyDescent="0.25">
      <c r="B93" s="2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2"/>
    </row>
    <row r="94" spans="2:26" x14ac:dyDescent="0.25">
      <c r="B94" s="20"/>
      <c r="C94" s="21"/>
      <c r="D94" s="21"/>
      <c r="E94" s="21"/>
      <c r="F94" s="21"/>
      <c r="G94" s="21"/>
      <c r="H94" s="21"/>
      <c r="I94" s="21" t="s">
        <v>79</v>
      </c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4">
        <f>F92+S92</f>
        <v>1690229283.7950001</v>
      </c>
      <c r="W94" s="21"/>
      <c r="X94" s="21"/>
      <c r="Y94" s="21"/>
      <c r="Z94" s="22"/>
    </row>
    <row r="95" spans="2:26" x14ac:dyDescent="0.25">
      <c r="B95" s="20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2"/>
    </row>
    <row r="96" spans="2:26" x14ac:dyDescent="0.25">
      <c r="B96" s="20"/>
      <c r="C96" s="21"/>
      <c r="D96" s="21" t="s">
        <v>80</v>
      </c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2"/>
    </row>
    <row r="97" spans="2:26" x14ac:dyDescent="0.25">
      <c r="B97" s="20"/>
      <c r="C97" s="21"/>
      <c r="D97" s="21"/>
      <c r="E97" s="21" t="s">
        <v>81</v>
      </c>
      <c r="F97" s="21" t="s">
        <v>82</v>
      </c>
      <c r="G97" s="25" t="s">
        <v>83</v>
      </c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2"/>
    </row>
    <row r="98" spans="2:26" x14ac:dyDescent="0.25">
      <c r="B98" s="2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2"/>
    </row>
    <row r="99" spans="2:26" x14ac:dyDescent="0.25">
      <c r="B99" s="2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2"/>
    </row>
    <row r="100" spans="2:26" x14ac:dyDescent="0.25">
      <c r="B100" s="20"/>
      <c r="C100" s="21"/>
      <c r="D100" s="21" t="s">
        <v>84</v>
      </c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2"/>
    </row>
    <row r="101" spans="2:26" x14ac:dyDescent="0.25">
      <c r="B101" s="20"/>
      <c r="C101" s="21"/>
      <c r="D101" s="21"/>
      <c r="E101" s="21" t="s">
        <v>85</v>
      </c>
      <c r="F101" s="21">
        <f>F66*5.58</f>
        <v>253917392.22</v>
      </c>
      <c r="G101" s="21"/>
      <c r="H101" s="21" t="s">
        <v>86</v>
      </c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 t="s">
        <v>87</v>
      </c>
      <c r="T101" s="21"/>
      <c r="U101" s="21"/>
      <c r="V101" s="21"/>
      <c r="W101" s="21"/>
      <c r="X101" s="21"/>
      <c r="Y101" s="21"/>
      <c r="Z101" s="22"/>
    </row>
    <row r="102" spans="2:26" x14ac:dyDescent="0.25">
      <c r="B102" s="20"/>
      <c r="C102" s="21"/>
      <c r="D102" s="21"/>
      <c r="E102" s="21"/>
      <c r="F102" s="21">
        <f>F78*9.64</f>
        <v>48740813.640000001</v>
      </c>
      <c r="G102" s="21"/>
      <c r="H102" s="21" t="s">
        <v>88</v>
      </c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 t="s">
        <v>89</v>
      </c>
      <c r="T102" s="21"/>
      <c r="U102" s="21"/>
      <c r="V102" s="21"/>
      <c r="W102" s="21"/>
      <c r="X102" s="21"/>
      <c r="Y102" s="21"/>
      <c r="Z102" s="22"/>
    </row>
    <row r="103" spans="2:26" x14ac:dyDescent="0.25">
      <c r="B103" s="20"/>
      <c r="C103" s="21"/>
      <c r="D103" s="21"/>
      <c r="E103" s="21"/>
      <c r="F103" s="21"/>
      <c r="G103" s="21"/>
      <c r="H103" s="21" t="s">
        <v>90</v>
      </c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 t="s">
        <v>91</v>
      </c>
      <c r="T103" s="21"/>
      <c r="U103" s="21"/>
      <c r="V103" s="21"/>
      <c r="W103" s="21"/>
      <c r="X103" s="21"/>
      <c r="Y103" s="21"/>
      <c r="Z103" s="22"/>
    </row>
    <row r="104" spans="2:26" x14ac:dyDescent="0.25">
      <c r="B104" s="20"/>
      <c r="C104" s="21"/>
      <c r="D104" s="21"/>
      <c r="E104" s="21" t="s">
        <v>92</v>
      </c>
      <c r="F104" s="21">
        <f>F62*0.76*0.25</f>
        <v>12808789.199999999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 t="s">
        <v>93</v>
      </c>
      <c r="T104" s="21"/>
      <c r="U104" s="21"/>
      <c r="V104" s="21"/>
      <c r="W104" s="21"/>
      <c r="X104" s="21"/>
      <c r="Y104" s="21"/>
      <c r="Z104" s="22"/>
    </row>
    <row r="105" spans="2:26" x14ac:dyDescent="0.25">
      <c r="B105" s="20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2"/>
    </row>
    <row r="106" spans="2:26" x14ac:dyDescent="0.25">
      <c r="B106" s="20"/>
      <c r="C106" s="21"/>
      <c r="D106" s="21"/>
      <c r="E106" s="21" t="s">
        <v>94</v>
      </c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2"/>
    </row>
    <row r="107" spans="2:26" x14ac:dyDescent="0.25">
      <c r="B107" s="2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2"/>
    </row>
    <row r="108" spans="2:26" x14ac:dyDescent="0.25">
      <c r="B108" s="20"/>
      <c r="C108" s="21"/>
      <c r="D108" s="21"/>
      <c r="E108" s="21" t="s">
        <v>95</v>
      </c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2"/>
    </row>
    <row r="109" spans="2:26" x14ac:dyDescent="0.25">
      <c r="B109" s="20"/>
      <c r="C109" s="21"/>
      <c r="D109" s="21"/>
      <c r="E109" s="21" t="s">
        <v>96</v>
      </c>
      <c r="F109" s="21"/>
      <c r="G109" s="21"/>
      <c r="H109" s="21"/>
      <c r="I109" s="21"/>
      <c r="J109" s="21"/>
      <c r="K109" s="21"/>
      <c r="L109" s="24">
        <f>0.75*(F101+F102)</f>
        <v>226993654.39500001</v>
      </c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2"/>
    </row>
    <row r="110" spans="2:26" x14ac:dyDescent="0.25">
      <c r="B110" s="20"/>
      <c r="C110" s="21"/>
      <c r="D110" s="21"/>
      <c r="E110" s="21" t="s">
        <v>97</v>
      </c>
      <c r="F110" s="21"/>
      <c r="G110" s="21"/>
      <c r="H110" s="21"/>
      <c r="I110" s="21"/>
      <c r="J110" s="21"/>
      <c r="K110" s="21"/>
      <c r="L110" s="24">
        <f>0.75*S92</f>
        <v>59345985.487500004</v>
      </c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2"/>
    </row>
    <row r="111" spans="2:26" x14ac:dyDescent="0.25">
      <c r="B111" s="2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2"/>
    </row>
    <row r="112" spans="2:26" ht="15.75" thickBot="1" x14ac:dyDescent="0.3">
      <c r="B112" s="26"/>
      <c r="C112" s="27"/>
      <c r="D112" s="27"/>
      <c r="E112" s="27"/>
      <c r="F112" s="27" t="s">
        <v>98</v>
      </c>
      <c r="G112" s="27"/>
      <c r="H112" s="27"/>
      <c r="I112" s="27"/>
      <c r="J112" s="27"/>
      <c r="K112" s="27"/>
      <c r="L112" s="28">
        <f>L109+L110</f>
        <v>286339639.88249999</v>
      </c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9"/>
    </row>
    <row r="117" spans="1:16" x14ac:dyDescent="0.25">
      <c r="A117" s="70" t="s">
        <v>102</v>
      </c>
      <c r="B117" s="70"/>
    </row>
    <row r="118" spans="1:16" ht="15.75" thickBot="1" x14ac:dyDescent="0.3"/>
    <row r="119" spans="1:16" x14ac:dyDescent="0.25">
      <c r="A119" s="76" t="s">
        <v>103</v>
      </c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8"/>
    </row>
    <row r="120" spans="1:16" x14ac:dyDescent="0.25">
      <c r="A120" s="79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1"/>
    </row>
    <row r="121" spans="1:16" ht="27.75" customHeight="1" thickBot="1" x14ac:dyDescent="0.3">
      <c r="A121" s="82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4"/>
    </row>
    <row r="123" spans="1:16" ht="15.75" thickBot="1" x14ac:dyDescent="0.3">
      <c r="A123" s="31"/>
      <c r="B123" s="31"/>
      <c r="C123" s="31"/>
      <c r="D123" s="32"/>
      <c r="E123" s="32"/>
      <c r="F123" s="31"/>
      <c r="G123" s="31"/>
      <c r="H123" s="31"/>
      <c r="I123" s="31"/>
      <c r="J123" s="31"/>
      <c r="K123" s="31"/>
      <c r="L123" s="31"/>
      <c r="M123" s="31"/>
    </row>
    <row r="124" spans="1:16" ht="15.75" thickBot="1" x14ac:dyDescent="0.3">
      <c r="A124" s="31"/>
      <c r="B124" s="33" t="s">
        <v>104</v>
      </c>
      <c r="C124" s="34" t="s">
        <v>105</v>
      </c>
      <c r="D124" s="35" t="s">
        <v>106</v>
      </c>
      <c r="E124" s="35" t="s">
        <v>48</v>
      </c>
      <c r="F124" s="36" t="s">
        <v>107</v>
      </c>
      <c r="G124" s="36" t="s">
        <v>108</v>
      </c>
      <c r="H124" s="36" t="s">
        <v>109</v>
      </c>
      <c r="I124" s="37" t="s">
        <v>110</v>
      </c>
      <c r="J124" s="31"/>
      <c r="K124" s="31"/>
      <c r="L124" s="31"/>
      <c r="M124" s="31"/>
    </row>
    <row r="125" spans="1:16" x14ac:dyDescent="0.25">
      <c r="A125" s="38"/>
      <c r="B125" s="31"/>
      <c r="C125" s="31" t="s">
        <v>111</v>
      </c>
      <c r="D125" s="32">
        <v>1</v>
      </c>
      <c r="E125" s="32">
        <v>1</v>
      </c>
      <c r="F125" s="39">
        <v>1300000</v>
      </c>
      <c r="G125" s="40">
        <v>100</v>
      </c>
      <c r="H125" s="40">
        <v>3192000</v>
      </c>
      <c r="I125" s="41" t="s">
        <v>112</v>
      </c>
      <c r="J125" s="31" t="s">
        <v>113</v>
      </c>
      <c r="K125" s="31"/>
      <c r="L125" s="31"/>
      <c r="M125" s="31"/>
    </row>
    <row r="126" spans="1:16" x14ac:dyDescent="0.25">
      <c r="A126" s="38"/>
      <c r="B126" s="31"/>
      <c r="C126" s="31" t="s">
        <v>114</v>
      </c>
      <c r="D126" s="32" t="s">
        <v>115</v>
      </c>
      <c r="E126" s="32">
        <v>37</v>
      </c>
      <c r="F126" s="39">
        <v>480000</v>
      </c>
      <c r="G126" s="40">
        <v>100</v>
      </c>
      <c r="H126" s="40">
        <v>10656000</v>
      </c>
      <c r="I126" s="42" t="s">
        <v>116</v>
      </c>
      <c r="J126" s="31"/>
      <c r="K126" s="31"/>
      <c r="L126" s="31"/>
      <c r="M126" s="31"/>
    </row>
    <row r="127" spans="1:16" x14ac:dyDescent="0.25">
      <c r="A127" s="38"/>
      <c r="B127" s="31"/>
      <c r="C127" s="31" t="s">
        <v>117</v>
      </c>
      <c r="D127" s="32" t="s">
        <v>118</v>
      </c>
      <c r="E127" s="32">
        <v>296</v>
      </c>
      <c r="F127" s="39">
        <v>325000</v>
      </c>
      <c r="G127" s="40">
        <v>35</v>
      </c>
      <c r="H127" s="40">
        <v>170496000</v>
      </c>
      <c r="I127" s="42" t="s">
        <v>116</v>
      </c>
      <c r="J127" s="31"/>
      <c r="K127" s="31"/>
      <c r="L127" s="31"/>
      <c r="M127" s="31"/>
    </row>
    <row r="128" spans="1:16" x14ac:dyDescent="0.25">
      <c r="A128" s="38"/>
      <c r="B128" s="31"/>
      <c r="C128" s="31" t="s">
        <v>119</v>
      </c>
      <c r="D128" s="32">
        <v>5000</v>
      </c>
      <c r="E128" s="32">
        <v>5000</v>
      </c>
      <c r="F128" s="39">
        <v>95000</v>
      </c>
      <c r="G128" s="40">
        <v>25</v>
      </c>
      <c r="H128" s="40">
        <v>360000000</v>
      </c>
      <c r="I128" s="42" t="s">
        <v>116</v>
      </c>
      <c r="J128" s="31"/>
      <c r="K128" s="31"/>
      <c r="L128" s="31"/>
      <c r="M128" s="31"/>
    </row>
    <row r="129" spans="1:13" x14ac:dyDescent="0.25">
      <c r="A129" s="38"/>
      <c r="B129" s="31"/>
      <c r="C129" s="31" t="s">
        <v>120</v>
      </c>
      <c r="D129" s="32" t="s">
        <v>121</v>
      </c>
      <c r="E129" s="32">
        <v>20</v>
      </c>
      <c r="F129" s="39">
        <v>1000000</v>
      </c>
      <c r="G129" s="40">
        <v>30</v>
      </c>
      <c r="H129" s="40">
        <v>1600000</v>
      </c>
      <c r="I129" s="42" t="s">
        <v>116</v>
      </c>
      <c r="J129" s="31"/>
      <c r="K129" s="31"/>
      <c r="L129" s="31"/>
      <c r="M129" s="31"/>
    </row>
    <row r="130" spans="1:13" x14ac:dyDescent="0.25">
      <c r="A130" s="38"/>
      <c r="B130" s="31"/>
      <c r="C130" s="31" t="s">
        <v>122</v>
      </c>
      <c r="D130" s="32" t="s">
        <v>123</v>
      </c>
      <c r="E130" s="32">
        <v>10</v>
      </c>
      <c r="F130" s="39">
        <v>850000</v>
      </c>
      <c r="G130" s="40">
        <v>100</v>
      </c>
      <c r="H130" s="40">
        <v>2880000</v>
      </c>
      <c r="I130" s="42" t="s">
        <v>116</v>
      </c>
      <c r="J130" s="31"/>
      <c r="K130" s="31"/>
      <c r="L130" s="31"/>
      <c r="M130" s="31"/>
    </row>
    <row r="131" spans="1:13" x14ac:dyDescent="0.25">
      <c r="A131" s="38"/>
      <c r="B131" s="31"/>
      <c r="C131" s="31" t="s">
        <v>124</v>
      </c>
      <c r="D131" s="32" t="s">
        <v>125</v>
      </c>
      <c r="E131" s="32">
        <v>816</v>
      </c>
      <c r="F131" s="39">
        <v>38000</v>
      </c>
      <c r="G131" s="40">
        <v>10</v>
      </c>
      <c r="H131" s="40">
        <v>19584000</v>
      </c>
      <c r="I131" s="42" t="s">
        <v>116</v>
      </c>
      <c r="J131" s="31"/>
      <c r="K131" s="31"/>
      <c r="L131" s="31"/>
      <c r="M131" s="31"/>
    </row>
    <row r="132" spans="1:13" x14ac:dyDescent="0.25">
      <c r="A132" s="38"/>
      <c r="B132" s="31"/>
      <c r="C132" s="31" t="s">
        <v>126</v>
      </c>
      <c r="D132" s="32" t="s">
        <v>127</v>
      </c>
      <c r="E132" s="32">
        <v>77</v>
      </c>
      <c r="F132" s="39">
        <v>30000</v>
      </c>
      <c r="G132" s="40">
        <v>15</v>
      </c>
      <c r="H132" s="40">
        <v>0</v>
      </c>
      <c r="I132" s="42" t="s">
        <v>116</v>
      </c>
      <c r="J132" s="31"/>
      <c r="K132" s="31"/>
      <c r="L132" s="31"/>
      <c r="M132" s="31"/>
    </row>
    <row r="133" spans="1:13" x14ac:dyDescent="0.25">
      <c r="A133" s="38"/>
      <c r="B133" s="31"/>
      <c r="C133" s="31" t="s">
        <v>128</v>
      </c>
      <c r="D133" s="32" t="s">
        <v>129</v>
      </c>
      <c r="E133" s="32">
        <v>52</v>
      </c>
      <c r="F133" s="39">
        <v>35000</v>
      </c>
      <c r="G133" s="40">
        <v>25</v>
      </c>
      <c r="H133" s="40">
        <v>12480000</v>
      </c>
      <c r="I133" s="42" t="s">
        <v>116</v>
      </c>
      <c r="J133" s="31"/>
      <c r="K133" s="31"/>
      <c r="L133" s="31"/>
      <c r="M133" s="31"/>
    </row>
    <row r="134" spans="1:13" x14ac:dyDescent="0.25">
      <c r="A134" s="38"/>
      <c r="B134" s="31"/>
      <c r="C134" s="31" t="s">
        <v>130</v>
      </c>
      <c r="D134" s="32">
        <v>1</v>
      </c>
      <c r="E134" s="32">
        <v>1</v>
      </c>
      <c r="F134" s="39">
        <v>125000</v>
      </c>
      <c r="G134" s="40">
        <v>75</v>
      </c>
      <c r="H134" s="40">
        <v>24000</v>
      </c>
      <c r="I134" s="42" t="s">
        <v>116</v>
      </c>
      <c r="J134" s="31"/>
      <c r="K134" s="31"/>
      <c r="L134" s="31"/>
      <c r="M134" s="31"/>
    </row>
    <row r="135" spans="1:13" x14ac:dyDescent="0.25">
      <c r="A135" s="38"/>
      <c r="B135" s="31"/>
      <c r="C135" s="31" t="s">
        <v>131</v>
      </c>
      <c r="D135" s="32" t="s">
        <v>132</v>
      </c>
      <c r="E135" s="32">
        <v>87</v>
      </c>
      <c r="F135" s="39">
        <v>120000</v>
      </c>
      <c r="G135" s="40">
        <v>50</v>
      </c>
      <c r="H135" s="40">
        <v>4176000</v>
      </c>
      <c r="I135" s="42" t="s">
        <v>116</v>
      </c>
      <c r="J135" s="31"/>
      <c r="K135" s="31"/>
      <c r="L135" s="31"/>
      <c r="M135" s="31"/>
    </row>
    <row r="136" spans="1:13" x14ac:dyDescent="0.25">
      <c r="A136" s="38"/>
      <c r="B136" s="31"/>
      <c r="C136" s="31" t="s">
        <v>133</v>
      </c>
      <c r="D136" s="32" t="s">
        <v>134</v>
      </c>
      <c r="E136" s="32">
        <v>47</v>
      </c>
      <c r="F136" s="39">
        <v>90000</v>
      </c>
      <c r="G136" s="40">
        <v>35</v>
      </c>
      <c r="H136" s="40">
        <v>2256000</v>
      </c>
      <c r="I136" s="42" t="s">
        <v>116</v>
      </c>
      <c r="J136" s="31"/>
      <c r="K136" s="31"/>
      <c r="L136" s="31"/>
      <c r="M136" s="31"/>
    </row>
    <row r="137" spans="1:13" x14ac:dyDescent="0.25">
      <c r="A137" s="38"/>
      <c r="B137" s="31"/>
      <c r="C137" s="31" t="s">
        <v>135</v>
      </c>
      <c r="D137" s="32">
        <v>5</v>
      </c>
      <c r="E137" s="32">
        <v>5</v>
      </c>
      <c r="F137" s="39">
        <v>0</v>
      </c>
      <c r="G137" s="40">
        <v>25</v>
      </c>
      <c r="H137" s="40">
        <v>9850000</v>
      </c>
      <c r="I137" s="42" t="s">
        <v>116</v>
      </c>
      <c r="J137" s="31"/>
      <c r="K137" s="31"/>
      <c r="L137" s="31"/>
      <c r="M137" s="31"/>
    </row>
    <row r="138" spans="1:13" x14ac:dyDescent="0.25">
      <c r="A138" s="38"/>
      <c r="B138" s="31"/>
      <c r="C138" s="31" t="s">
        <v>136</v>
      </c>
      <c r="D138" s="32">
        <v>1000</v>
      </c>
      <c r="E138" s="32">
        <v>1000</v>
      </c>
      <c r="F138" s="39">
        <v>0</v>
      </c>
      <c r="G138" s="40">
        <v>10</v>
      </c>
      <c r="H138" s="40">
        <v>0</v>
      </c>
      <c r="I138" s="42" t="s">
        <v>116</v>
      </c>
      <c r="J138" s="31"/>
      <c r="K138" s="31"/>
      <c r="L138" s="31"/>
      <c r="M138" s="31"/>
    </row>
    <row r="139" spans="1:13" ht="15.75" thickBot="1" x14ac:dyDescent="0.3">
      <c r="A139" s="38"/>
      <c r="B139" s="31"/>
      <c r="C139" s="31" t="s">
        <v>137</v>
      </c>
      <c r="D139" s="32">
        <v>10</v>
      </c>
      <c r="E139" s="32">
        <v>10</v>
      </c>
      <c r="F139" s="39">
        <v>130000</v>
      </c>
      <c r="G139" s="40">
        <v>45</v>
      </c>
      <c r="H139" s="40">
        <v>8880000</v>
      </c>
      <c r="I139" s="42" t="s">
        <v>116</v>
      </c>
      <c r="J139" s="31"/>
      <c r="K139" s="31"/>
      <c r="L139" s="31"/>
      <c r="M139" s="31"/>
    </row>
    <row r="140" spans="1:13" ht="15.75" thickBot="1" x14ac:dyDescent="0.3">
      <c r="A140" s="38"/>
      <c r="B140" s="31"/>
      <c r="C140" s="43" t="s">
        <v>48</v>
      </c>
      <c r="D140" s="32"/>
      <c r="E140" s="44">
        <f>SUM(E125:E139)</f>
        <v>7459</v>
      </c>
      <c r="F140" s="31"/>
      <c r="G140" s="31"/>
      <c r="H140" s="31"/>
      <c r="I140" s="31"/>
      <c r="J140" s="31"/>
      <c r="K140" s="31"/>
      <c r="L140" s="31"/>
      <c r="M140" s="31"/>
    </row>
    <row r="141" spans="1:13" ht="15.75" thickBot="1" x14ac:dyDescent="0.3">
      <c r="A141" s="31"/>
      <c r="B141" s="31"/>
      <c r="C141" s="31"/>
      <c r="D141" s="32"/>
      <c r="E141" s="32"/>
      <c r="F141" s="31"/>
      <c r="G141" s="31"/>
      <c r="H141" s="31"/>
      <c r="I141" s="31"/>
      <c r="J141" s="31"/>
      <c r="K141" s="31"/>
      <c r="L141" s="31"/>
      <c r="M141" s="31"/>
    </row>
    <row r="142" spans="1:13" ht="15.75" thickBot="1" x14ac:dyDescent="0.3">
      <c r="A142" s="31"/>
      <c r="B142" s="33" t="s">
        <v>138</v>
      </c>
      <c r="C142" s="34" t="s">
        <v>105</v>
      </c>
      <c r="D142" s="35" t="s">
        <v>106</v>
      </c>
      <c r="E142" s="35" t="s">
        <v>139</v>
      </c>
      <c r="F142" s="34" t="s">
        <v>140</v>
      </c>
      <c r="G142" s="34" t="s">
        <v>141</v>
      </c>
      <c r="H142" s="34" t="s">
        <v>109</v>
      </c>
      <c r="I142" s="37" t="s">
        <v>110</v>
      </c>
      <c r="J142" s="31"/>
      <c r="K142" s="31"/>
      <c r="L142" s="31"/>
      <c r="M142" s="31"/>
    </row>
    <row r="143" spans="1:13" x14ac:dyDescent="0.25">
      <c r="A143" s="45"/>
      <c r="B143" s="46" t="s">
        <v>142</v>
      </c>
      <c r="C143" s="31" t="s">
        <v>143</v>
      </c>
      <c r="D143" s="32"/>
      <c r="E143" s="32"/>
      <c r="F143" s="31"/>
      <c r="G143" s="31"/>
      <c r="H143" s="31"/>
      <c r="I143" s="41" t="s">
        <v>112</v>
      </c>
      <c r="J143" s="31" t="s">
        <v>113</v>
      </c>
      <c r="K143" s="31"/>
      <c r="L143" s="31"/>
      <c r="M143" s="31"/>
    </row>
    <row r="144" spans="1:13" x14ac:dyDescent="0.25">
      <c r="A144" s="45"/>
      <c r="B144" s="31"/>
      <c r="C144" s="31" t="s">
        <v>144</v>
      </c>
      <c r="D144" s="32"/>
      <c r="E144" s="32"/>
      <c r="F144" s="31"/>
      <c r="G144" s="31"/>
      <c r="H144" s="31"/>
      <c r="I144" s="42" t="s">
        <v>116</v>
      </c>
      <c r="J144" s="31"/>
      <c r="K144" s="31"/>
      <c r="L144" s="31"/>
      <c r="M144" s="31"/>
    </row>
    <row r="145" spans="1:13" x14ac:dyDescent="0.25">
      <c r="A145" s="45"/>
      <c r="B145" s="31"/>
      <c r="C145" s="31" t="s">
        <v>145</v>
      </c>
      <c r="D145" s="32"/>
      <c r="E145" s="32"/>
      <c r="F145" s="31"/>
      <c r="G145" s="31"/>
      <c r="H145" s="31"/>
      <c r="I145" s="42" t="s">
        <v>116</v>
      </c>
      <c r="J145" s="31"/>
      <c r="K145" s="31"/>
      <c r="L145" s="31"/>
      <c r="M145" s="31"/>
    </row>
    <row r="146" spans="1:13" x14ac:dyDescent="0.25">
      <c r="A146" s="45"/>
      <c r="B146" s="31"/>
      <c r="C146" s="31" t="s">
        <v>146</v>
      </c>
      <c r="D146" s="32"/>
      <c r="E146" s="32"/>
      <c r="F146" s="31"/>
      <c r="G146" s="31"/>
      <c r="H146" s="31"/>
      <c r="I146" s="42" t="s">
        <v>116</v>
      </c>
      <c r="J146" s="31"/>
      <c r="K146" s="31"/>
      <c r="L146" s="31"/>
      <c r="M146" s="31"/>
    </row>
    <row r="147" spans="1:13" x14ac:dyDescent="0.25">
      <c r="A147" s="45"/>
      <c r="B147" s="46" t="s">
        <v>147</v>
      </c>
      <c r="C147" s="31"/>
      <c r="D147" s="32"/>
      <c r="E147" s="32"/>
      <c r="F147" s="31"/>
      <c r="G147" s="31"/>
      <c r="H147" s="31"/>
      <c r="I147" s="42" t="s">
        <v>116</v>
      </c>
      <c r="J147" s="31"/>
      <c r="K147" s="31"/>
      <c r="L147" s="31"/>
      <c r="M147" s="31"/>
    </row>
    <row r="148" spans="1:13" x14ac:dyDescent="0.25">
      <c r="A148" s="45"/>
      <c r="B148" s="31"/>
      <c r="C148" s="31" t="s">
        <v>148</v>
      </c>
      <c r="D148" s="32"/>
      <c r="E148" s="32"/>
      <c r="F148" s="31"/>
      <c r="G148" s="31"/>
      <c r="H148" s="31"/>
      <c r="I148" s="42" t="s">
        <v>116</v>
      </c>
      <c r="J148" s="31"/>
      <c r="K148" s="31"/>
      <c r="L148" s="31"/>
      <c r="M148" s="31"/>
    </row>
    <row r="149" spans="1:13" x14ac:dyDescent="0.25">
      <c r="A149" s="45"/>
      <c r="B149" s="31"/>
      <c r="C149" s="31" t="s">
        <v>149</v>
      </c>
      <c r="D149" s="32"/>
      <c r="E149" s="32"/>
      <c r="F149" s="31"/>
      <c r="G149" s="31"/>
      <c r="H149" s="31"/>
      <c r="I149" s="42" t="s">
        <v>116</v>
      </c>
      <c r="J149" s="31"/>
      <c r="K149" s="31"/>
      <c r="L149" s="31"/>
      <c r="M149" s="31"/>
    </row>
    <row r="150" spans="1:13" x14ac:dyDescent="0.25">
      <c r="A150" s="45"/>
      <c r="B150" s="31"/>
      <c r="C150" s="31" t="s">
        <v>150</v>
      </c>
      <c r="D150" s="32"/>
      <c r="E150" s="32"/>
      <c r="F150" s="31"/>
      <c r="G150" s="31"/>
      <c r="H150" s="31"/>
      <c r="I150" s="42" t="s">
        <v>116</v>
      </c>
      <c r="J150" s="31"/>
      <c r="K150" s="31"/>
      <c r="L150" s="31"/>
      <c r="M150" s="31"/>
    </row>
    <row r="151" spans="1:13" x14ac:dyDescent="0.25">
      <c r="A151" s="45"/>
      <c r="B151" s="31"/>
      <c r="C151" s="31" t="s">
        <v>151</v>
      </c>
      <c r="D151" s="32"/>
      <c r="E151" s="32"/>
      <c r="F151" s="31"/>
      <c r="G151" s="31"/>
      <c r="H151" s="31"/>
      <c r="I151" s="42" t="s">
        <v>116</v>
      </c>
      <c r="J151" s="31"/>
      <c r="K151" s="31"/>
      <c r="L151" s="31"/>
      <c r="M151" s="31"/>
    </row>
    <row r="152" spans="1:13" x14ac:dyDescent="0.25">
      <c r="A152" s="45"/>
      <c r="B152" s="46" t="s">
        <v>152</v>
      </c>
      <c r="C152" s="31"/>
      <c r="D152" s="32"/>
      <c r="E152" s="32"/>
      <c r="F152" s="31"/>
      <c r="G152" s="31"/>
      <c r="H152" s="31"/>
      <c r="I152" s="42" t="s">
        <v>116</v>
      </c>
      <c r="J152" s="31"/>
      <c r="K152" s="31"/>
      <c r="L152" s="31"/>
      <c r="M152" s="31"/>
    </row>
    <row r="153" spans="1:13" x14ac:dyDescent="0.25">
      <c r="A153" s="45"/>
      <c r="B153" s="31"/>
      <c r="C153" s="31" t="s">
        <v>153</v>
      </c>
      <c r="D153" s="32"/>
      <c r="E153" s="32"/>
      <c r="F153" s="31"/>
      <c r="G153" s="31"/>
      <c r="H153" s="31"/>
      <c r="I153" s="42" t="s">
        <v>116</v>
      </c>
      <c r="J153" s="31"/>
      <c r="K153" s="31"/>
      <c r="L153" s="31"/>
      <c r="M153" s="31"/>
    </row>
    <row r="154" spans="1:13" x14ac:dyDescent="0.25">
      <c r="A154" s="45"/>
      <c r="B154" s="31"/>
      <c r="C154" s="31" t="s">
        <v>154</v>
      </c>
      <c r="D154" s="32"/>
      <c r="E154" s="32"/>
      <c r="F154" s="31"/>
      <c r="G154" s="31"/>
      <c r="H154" s="31"/>
      <c r="I154" s="42" t="s">
        <v>116</v>
      </c>
      <c r="J154" s="31"/>
      <c r="K154" s="31"/>
      <c r="L154" s="31"/>
      <c r="M154" s="31"/>
    </row>
    <row r="155" spans="1:13" x14ac:dyDescent="0.25">
      <c r="A155" s="45"/>
      <c r="B155" s="31"/>
      <c r="C155" s="31" t="s">
        <v>155</v>
      </c>
      <c r="D155" s="32"/>
      <c r="E155" s="32"/>
      <c r="F155" s="31"/>
      <c r="G155" s="31"/>
      <c r="H155" s="31"/>
      <c r="I155" s="42" t="s">
        <v>116</v>
      </c>
      <c r="J155" s="31"/>
      <c r="K155" s="31"/>
      <c r="L155" s="31"/>
      <c r="M155" s="31"/>
    </row>
    <row r="156" spans="1:13" x14ac:dyDescent="0.25">
      <c r="A156" s="45"/>
      <c r="B156" s="31"/>
      <c r="C156" s="31" t="s">
        <v>156</v>
      </c>
      <c r="D156" s="32" t="s">
        <v>157</v>
      </c>
      <c r="E156" s="32"/>
      <c r="F156" s="31"/>
      <c r="G156" s="31"/>
      <c r="H156" s="31"/>
      <c r="I156" s="42" t="s">
        <v>116</v>
      </c>
      <c r="J156" s="31"/>
      <c r="K156" s="31"/>
      <c r="L156" s="31"/>
      <c r="M156" s="31"/>
    </row>
    <row r="157" spans="1:13" x14ac:dyDescent="0.25">
      <c r="A157" s="45"/>
      <c r="B157" s="46" t="s">
        <v>158</v>
      </c>
      <c r="C157" s="31"/>
      <c r="D157" s="32"/>
      <c r="E157" s="32"/>
      <c r="F157" s="31"/>
      <c r="G157" s="31"/>
      <c r="H157" s="31"/>
      <c r="I157" s="42" t="s">
        <v>116</v>
      </c>
      <c r="J157" s="31"/>
      <c r="K157" s="31"/>
      <c r="L157" s="31"/>
      <c r="M157" s="31"/>
    </row>
    <row r="158" spans="1:13" x14ac:dyDescent="0.25">
      <c r="A158" s="45"/>
      <c r="B158" s="31"/>
      <c r="C158" s="31" t="s">
        <v>159</v>
      </c>
      <c r="D158" s="32"/>
      <c r="E158" s="32"/>
      <c r="F158" s="31"/>
      <c r="G158" s="31"/>
      <c r="H158" s="31"/>
      <c r="I158" s="42" t="s">
        <v>116</v>
      </c>
      <c r="J158" s="31"/>
      <c r="K158" s="31"/>
      <c r="L158" s="31"/>
      <c r="M158" s="31"/>
    </row>
    <row r="159" spans="1:13" x14ac:dyDescent="0.25">
      <c r="A159" s="45"/>
      <c r="B159" s="31"/>
      <c r="C159" s="31" t="s">
        <v>160</v>
      </c>
      <c r="D159" s="32"/>
      <c r="E159" s="32"/>
      <c r="F159" s="31"/>
      <c r="G159" s="31"/>
      <c r="H159" s="31"/>
      <c r="I159" s="42" t="s">
        <v>116</v>
      </c>
      <c r="J159" s="31"/>
      <c r="K159" s="31"/>
      <c r="L159" s="31"/>
      <c r="M159" s="31"/>
    </row>
    <row r="160" spans="1:13" x14ac:dyDescent="0.25">
      <c r="A160" s="45"/>
      <c r="B160" s="31"/>
      <c r="C160" s="31" t="s">
        <v>161</v>
      </c>
      <c r="D160" s="32"/>
      <c r="E160" s="32"/>
      <c r="F160" s="31"/>
      <c r="G160" s="31"/>
      <c r="H160" s="31"/>
      <c r="I160" s="42" t="s">
        <v>116</v>
      </c>
      <c r="J160" s="31"/>
      <c r="K160" s="31"/>
      <c r="L160" s="31"/>
      <c r="M160" s="31"/>
    </row>
    <row r="161" spans="1:13" x14ac:dyDescent="0.25">
      <c r="A161" s="31"/>
      <c r="B161" s="31"/>
      <c r="C161" s="31"/>
      <c r="D161" s="32"/>
      <c r="E161" s="32"/>
      <c r="F161" s="31"/>
      <c r="G161" s="31"/>
      <c r="H161" s="31"/>
      <c r="I161" s="42"/>
      <c r="J161" s="31"/>
      <c r="K161" s="31"/>
      <c r="L161" s="31"/>
      <c r="M161" s="31"/>
    </row>
    <row r="162" spans="1:13" x14ac:dyDescent="0.25">
      <c r="A162" s="31"/>
      <c r="B162" s="31"/>
      <c r="C162" s="31"/>
      <c r="D162" s="32"/>
      <c r="E162" s="32"/>
      <c r="F162" s="31"/>
      <c r="G162" s="31"/>
      <c r="H162" s="31"/>
      <c r="I162" s="42"/>
      <c r="J162" s="31"/>
      <c r="K162" s="31"/>
      <c r="L162" s="31"/>
      <c r="M162" s="31"/>
    </row>
    <row r="163" spans="1:13" x14ac:dyDescent="0.25">
      <c r="A163" s="31"/>
      <c r="B163" s="31"/>
      <c r="C163" s="31"/>
      <c r="D163" s="32"/>
      <c r="E163" s="32"/>
      <c r="F163" s="31"/>
      <c r="G163" s="31"/>
      <c r="H163" s="31"/>
      <c r="I163" s="42"/>
      <c r="J163" s="31"/>
      <c r="K163" s="31"/>
      <c r="L163" s="31"/>
      <c r="M163" s="31"/>
    </row>
    <row r="164" spans="1:13" ht="15.75" thickBot="1" x14ac:dyDescent="0.3">
      <c r="A164" s="31"/>
      <c r="B164" s="31"/>
      <c r="C164" s="31"/>
      <c r="D164" s="32"/>
      <c r="E164" s="32"/>
      <c r="F164" s="31"/>
      <c r="G164" s="31"/>
      <c r="H164" s="31"/>
      <c r="I164" s="31"/>
      <c r="J164" s="31"/>
      <c r="K164" s="31"/>
      <c r="L164" s="31"/>
      <c r="M164" s="31"/>
    </row>
    <row r="165" spans="1:13" ht="15.75" thickBot="1" x14ac:dyDescent="0.3">
      <c r="A165" s="31"/>
      <c r="B165" s="33" t="s">
        <v>162</v>
      </c>
      <c r="C165" s="34" t="s">
        <v>105</v>
      </c>
      <c r="D165" s="35" t="s">
        <v>106</v>
      </c>
      <c r="E165" s="35" t="s">
        <v>139</v>
      </c>
      <c r="F165" s="34" t="s">
        <v>140</v>
      </c>
      <c r="G165" s="34" t="s">
        <v>141</v>
      </c>
      <c r="H165" s="34" t="s">
        <v>163</v>
      </c>
      <c r="I165" s="37" t="s">
        <v>110</v>
      </c>
      <c r="J165" s="31"/>
      <c r="K165" s="31"/>
      <c r="L165" s="31"/>
      <c r="M165" s="31"/>
    </row>
    <row r="166" spans="1:13" x14ac:dyDescent="0.25">
      <c r="A166" s="38"/>
      <c r="B166" s="46" t="s">
        <v>164</v>
      </c>
      <c r="C166" s="31"/>
      <c r="D166" s="32"/>
      <c r="E166" s="32"/>
      <c r="F166" s="31"/>
      <c r="G166" s="31"/>
      <c r="H166" s="31"/>
      <c r="I166" s="41" t="s">
        <v>112</v>
      </c>
      <c r="J166" s="31" t="s">
        <v>113</v>
      </c>
      <c r="K166" s="31"/>
      <c r="L166" s="31"/>
      <c r="M166" s="31"/>
    </row>
    <row r="167" spans="1:13" x14ac:dyDescent="0.25">
      <c r="A167" s="38"/>
      <c r="B167" s="31"/>
      <c r="C167" s="31" t="s">
        <v>165</v>
      </c>
      <c r="D167" s="32">
        <v>47</v>
      </c>
      <c r="E167" s="32">
        <f>50000*47</f>
        <v>2350000</v>
      </c>
      <c r="F167" s="31">
        <f>E167*G167</f>
        <v>462950000</v>
      </c>
      <c r="G167" s="31">
        <v>197</v>
      </c>
      <c r="H167" s="31"/>
      <c r="I167" s="42" t="s">
        <v>116</v>
      </c>
      <c r="J167" s="31"/>
      <c r="K167" s="31"/>
      <c r="L167" s="31"/>
      <c r="M167" s="31"/>
    </row>
    <row r="168" spans="1:13" x14ac:dyDescent="0.25">
      <c r="A168" s="38"/>
      <c r="B168" s="31"/>
      <c r="C168" s="31" t="s">
        <v>166</v>
      </c>
      <c r="D168" s="32">
        <v>5</v>
      </c>
      <c r="E168" s="32">
        <v>165000</v>
      </c>
      <c r="F168" s="31">
        <f t="shared" ref="F168:F170" si="4">E168*G168</f>
        <v>32505000</v>
      </c>
      <c r="G168" s="31">
        <v>197</v>
      </c>
      <c r="H168" s="31"/>
      <c r="I168" s="42" t="s">
        <v>116</v>
      </c>
      <c r="J168" s="31"/>
      <c r="K168" s="31"/>
      <c r="L168" s="31"/>
      <c r="M168" s="31"/>
    </row>
    <row r="169" spans="1:13" x14ac:dyDescent="0.25">
      <c r="A169" s="38"/>
      <c r="B169" s="31"/>
      <c r="C169" s="31" t="s">
        <v>167</v>
      </c>
      <c r="D169" s="32">
        <v>0</v>
      </c>
      <c r="E169" s="32"/>
      <c r="F169" s="31">
        <f t="shared" si="4"/>
        <v>0</v>
      </c>
      <c r="G169" s="31">
        <v>197</v>
      </c>
      <c r="H169" s="31"/>
      <c r="I169" s="42" t="s">
        <v>116</v>
      </c>
      <c r="J169" s="31"/>
      <c r="K169" s="31"/>
      <c r="L169" s="31"/>
      <c r="M169" s="31"/>
    </row>
    <row r="170" spans="1:13" x14ac:dyDescent="0.25">
      <c r="A170" s="38"/>
      <c r="B170" s="46"/>
      <c r="C170" s="31" t="s">
        <v>168</v>
      </c>
      <c r="D170" s="32">
        <v>37</v>
      </c>
      <c r="E170" s="32">
        <f>1000*37</f>
        <v>37000</v>
      </c>
      <c r="F170" s="31">
        <f t="shared" si="4"/>
        <v>7289000</v>
      </c>
      <c r="G170" s="31">
        <v>197</v>
      </c>
      <c r="H170" s="31"/>
      <c r="I170" s="42" t="s">
        <v>116</v>
      </c>
      <c r="J170" s="31"/>
      <c r="K170" s="31"/>
      <c r="L170" s="31"/>
      <c r="M170" s="31"/>
    </row>
    <row r="171" spans="1:13" x14ac:dyDescent="0.25">
      <c r="A171" s="38"/>
      <c r="B171" s="46"/>
      <c r="C171" s="31"/>
      <c r="D171" s="32"/>
      <c r="E171" s="32"/>
      <c r="F171" s="31"/>
      <c r="G171" s="31"/>
      <c r="H171" s="31"/>
      <c r="I171" s="42"/>
      <c r="J171" s="31"/>
      <c r="K171" s="31"/>
      <c r="L171" s="31"/>
      <c r="M171" s="31"/>
    </row>
    <row r="172" spans="1:13" x14ac:dyDescent="0.25">
      <c r="A172" s="38"/>
      <c r="B172" s="46"/>
      <c r="C172" s="31"/>
      <c r="D172" s="32"/>
      <c r="E172" s="32"/>
      <c r="F172" s="31"/>
      <c r="G172" s="31"/>
      <c r="H172" s="31"/>
      <c r="I172" s="42"/>
      <c r="J172" s="31"/>
      <c r="K172" s="31"/>
      <c r="L172" s="31"/>
      <c r="M172" s="31"/>
    </row>
    <row r="173" spans="1:13" x14ac:dyDescent="0.25">
      <c r="A173" s="38"/>
      <c r="B173" s="31"/>
      <c r="C173" s="31"/>
      <c r="D173" s="32"/>
      <c r="E173" s="32"/>
      <c r="F173" s="31"/>
      <c r="G173" s="31"/>
      <c r="H173" s="31"/>
      <c r="I173" s="42" t="s">
        <v>116</v>
      </c>
      <c r="J173" s="31"/>
      <c r="K173" s="31"/>
      <c r="L173" s="31"/>
      <c r="M173" s="31"/>
    </row>
    <row r="174" spans="1:13" x14ac:dyDescent="0.25">
      <c r="A174" s="47"/>
      <c r="B174" s="46" t="s">
        <v>169</v>
      </c>
      <c r="C174" s="31"/>
      <c r="D174" s="32"/>
      <c r="E174" s="32"/>
      <c r="F174" s="31"/>
      <c r="G174" s="31"/>
      <c r="H174" s="31"/>
      <c r="I174" s="42" t="s">
        <v>116</v>
      </c>
      <c r="J174" s="48" t="s">
        <v>170</v>
      </c>
      <c r="K174" s="48"/>
      <c r="L174" s="31"/>
      <c r="M174" s="31"/>
    </row>
    <row r="175" spans="1:13" x14ac:dyDescent="0.25">
      <c r="A175" s="38"/>
      <c r="B175" s="31"/>
      <c r="C175" s="31" t="s">
        <v>111</v>
      </c>
      <c r="D175" s="32">
        <v>12</v>
      </c>
      <c r="E175" s="32">
        <f>F175/G175</f>
        <v>16203.045685279189</v>
      </c>
      <c r="F175" s="31">
        <f>D175*L175*H175+J175</f>
        <v>3192000</v>
      </c>
      <c r="G175" s="31">
        <v>197</v>
      </c>
      <c r="H175" s="49">
        <v>16000</v>
      </c>
      <c r="I175" s="42" t="s">
        <v>116</v>
      </c>
      <c r="J175" s="31">
        <v>3000000</v>
      </c>
      <c r="K175" s="31" t="s">
        <v>171</v>
      </c>
      <c r="L175" s="32">
        <v>1</v>
      </c>
      <c r="M175" s="31">
        <f>L175</f>
        <v>1</v>
      </c>
    </row>
    <row r="176" spans="1:13" x14ac:dyDescent="0.25">
      <c r="A176" s="38"/>
      <c r="B176" s="31"/>
      <c r="C176" s="31" t="s">
        <v>114</v>
      </c>
      <c r="D176" s="32">
        <v>18</v>
      </c>
      <c r="E176" s="32">
        <f t="shared" ref="E176:E189" si="5">F176/G176</f>
        <v>54091.370558375631</v>
      </c>
      <c r="F176" s="31">
        <f t="shared" ref="F176:F189" si="6">D176*L176*H176</f>
        <v>10656000</v>
      </c>
      <c r="G176" s="31">
        <v>197</v>
      </c>
      <c r="H176" s="49">
        <v>16000</v>
      </c>
      <c r="I176" s="42" t="s">
        <v>116</v>
      </c>
      <c r="J176" s="31"/>
      <c r="K176" s="31"/>
      <c r="L176" s="32">
        <f>1*37</f>
        <v>37</v>
      </c>
      <c r="M176" s="31">
        <f t="shared" ref="M176:M189" si="7">L176</f>
        <v>37</v>
      </c>
    </row>
    <row r="177" spans="1:13" x14ac:dyDescent="0.25">
      <c r="A177" s="38"/>
      <c r="B177" s="46"/>
      <c r="C177" s="31" t="s">
        <v>117</v>
      </c>
      <c r="D177" s="32">
        <v>48</v>
      </c>
      <c r="E177" s="32">
        <f t="shared" si="5"/>
        <v>865461.92893401009</v>
      </c>
      <c r="F177" s="31">
        <f t="shared" si="6"/>
        <v>170496000</v>
      </c>
      <c r="G177" s="31">
        <v>197</v>
      </c>
      <c r="H177" s="49">
        <v>12000</v>
      </c>
      <c r="I177" s="42" t="s">
        <v>116</v>
      </c>
      <c r="J177" s="31"/>
      <c r="K177" s="31"/>
      <c r="L177" s="32">
        <f>2*4*37</f>
        <v>296</v>
      </c>
      <c r="M177" s="31">
        <f t="shared" si="7"/>
        <v>296</v>
      </c>
    </row>
    <row r="178" spans="1:13" x14ac:dyDescent="0.25">
      <c r="A178" s="38"/>
      <c r="B178" s="31"/>
      <c r="C178" s="31" t="s">
        <v>119</v>
      </c>
      <c r="D178" s="32">
        <v>6</v>
      </c>
      <c r="E178" s="32">
        <f t="shared" si="5"/>
        <v>1827411.1675126904</v>
      </c>
      <c r="F178" s="31">
        <f t="shared" si="6"/>
        <v>360000000</v>
      </c>
      <c r="G178" s="31">
        <v>197</v>
      </c>
      <c r="H178" s="49">
        <v>12000</v>
      </c>
      <c r="I178" s="42" t="s">
        <v>116</v>
      </c>
      <c r="J178" s="31"/>
      <c r="K178" s="31"/>
      <c r="L178" s="32">
        <v>5000</v>
      </c>
      <c r="M178" s="31">
        <f t="shared" si="7"/>
        <v>5000</v>
      </c>
    </row>
    <row r="179" spans="1:13" x14ac:dyDescent="0.25">
      <c r="A179" s="38"/>
      <c r="B179" s="31"/>
      <c r="C179" s="31" t="s">
        <v>172</v>
      </c>
      <c r="D179" s="32">
        <v>4</v>
      </c>
      <c r="E179" s="32">
        <f t="shared" si="5"/>
        <v>8121.8274111675128</v>
      </c>
      <c r="F179" s="31">
        <f t="shared" si="6"/>
        <v>1600000</v>
      </c>
      <c r="G179" s="31">
        <v>197</v>
      </c>
      <c r="H179" s="49">
        <v>16000</v>
      </c>
      <c r="I179" s="42" t="s">
        <v>116</v>
      </c>
      <c r="J179" s="31"/>
      <c r="K179" s="31"/>
      <c r="L179" s="32">
        <f>5*5</f>
        <v>25</v>
      </c>
      <c r="M179" s="31">
        <f t="shared" si="7"/>
        <v>25</v>
      </c>
    </row>
    <row r="180" spans="1:13" x14ac:dyDescent="0.25">
      <c r="A180" s="38"/>
      <c r="B180" s="31"/>
      <c r="C180" s="31" t="s">
        <v>122</v>
      </c>
      <c r="D180" s="32">
        <v>18</v>
      </c>
      <c r="E180" s="32">
        <f t="shared" si="5"/>
        <v>14619.289340101523</v>
      </c>
      <c r="F180" s="31">
        <f t="shared" si="6"/>
        <v>2880000</v>
      </c>
      <c r="G180" s="31">
        <v>197</v>
      </c>
      <c r="H180" s="49">
        <v>16000</v>
      </c>
      <c r="I180" s="42" t="s">
        <v>116</v>
      </c>
      <c r="J180" s="31"/>
      <c r="K180" s="31"/>
      <c r="L180" s="32">
        <f>1*10</f>
        <v>10</v>
      </c>
      <c r="M180" s="31">
        <f t="shared" si="7"/>
        <v>10</v>
      </c>
    </row>
    <row r="181" spans="1:13" x14ac:dyDescent="0.25">
      <c r="A181" s="38"/>
      <c r="B181" s="31"/>
      <c r="C181" s="31" t="s">
        <v>124</v>
      </c>
      <c r="D181" s="32">
        <v>2</v>
      </c>
      <c r="E181" s="32">
        <f t="shared" si="5"/>
        <v>99411.167512690357</v>
      </c>
      <c r="F181" s="31">
        <f t="shared" si="6"/>
        <v>19584000</v>
      </c>
      <c r="G181" s="31">
        <v>197</v>
      </c>
      <c r="H181" s="49">
        <v>12000</v>
      </c>
      <c r="I181" s="42" t="s">
        <v>116</v>
      </c>
      <c r="J181" s="31"/>
      <c r="K181" s="31"/>
      <c r="L181" s="32">
        <f>3+37+776</f>
        <v>816</v>
      </c>
      <c r="M181" s="31">
        <f t="shared" si="7"/>
        <v>816</v>
      </c>
    </row>
    <row r="182" spans="1:13" x14ac:dyDescent="0.25">
      <c r="A182" s="38"/>
      <c r="B182" s="46"/>
      <c r="C182" s="31" t="s">
        <v>126</v>
      </c>
      <c r="D182" s="32">
        <v>0</v>
      </c>
      <c r="E182" s="32">
        <f t="shared" si="5"/>
        <v>0</v>
      </c>
      <c r="F182" s="31">
        <f t="shared" si="6"/>
        <v>0</v>
      </c>
      <c r="G182" s="31">
        <v>197</v>
      </c>
      <c r="H182" s="49">
        <v>5000</v>
      </c>
      <c r="I182" s="42" t="s">
        <v>116</v>
      </c>
      <c r="J182" s="31"/>
      <c r="K182" s="31"/>
      <c r="L182" s="32">
        <f>3+2*37</f>
        <v>77</v>
      </c>
      <c r="M182" s="31">
        <f t="shared" si="7"/>
        <v>77</v>
      </c>
    </row>
    <row r="183" spans="1:13" x14ac:dyDescent="0.25">
      <c r="A183" s="38"/>
      <c r="B183" s="31"/>
      <c r="C183" s="31" t="s">
        <v>128</v>
      </c>
      <c r="D183" s="32">
        <v>48</v>
      </c>
      <c r="E183" s="32">
        <f t="shared" si="5"/>
        <v>63350.253807106601</v>
      </c>
      <c r="F183" s="31">
        <f t="shared" si="6"/>
        <v>12480000</v>
      </c>
      <c r="G183" s="31">
        <v>197</v>
      </c>
      <c r="H183" s="49">
        <v>5000</v>
      </c>
      <c r="I183" s="42" t="s">
        <v>116</v>
      </c>
      <c r="J183" s="31"/>
      <c r="K183" s="31"/>
      <c r="L183" s="32">
        <f>5+5+5+37</f>
        <v>52</v>
      </c>
      <c r="M183" s="31">
        <f t="shared" si="7"/>
        <v>52</v>
      </c>
    </row>
    <row r="184" spans="1:13" x14ac:dyDescent="0.25">
      <c r="A184" s="38"/>
      <c r="B184" s="31"/>
      <c r="C184" s="31" t="s">
        <v>130</v>
      </c>
      <c r="D184" s="32">
        <v>2</v>
      </c>
      <c r="E184" s="32">
        <f t="shared" si="5"/>
        <v>121.82741116751269</v>
      </c>
      <c r="F184" s="31">
        <f t="shared" si="6"/>
        <v>24000</v>
      </c>
      <c r="G184" s="31">
        <v>197</v>
      </c>
      <c r="H184" s="49">
        <v>12000</v>
      </c>
      <c r="I184" s="42" t="s">
        <v>116</v>
      </c>
      <c r="J184" s="31"/>
      <c r="K184" s="31"/>
      <c r="L184" s="32">
        <v>1</v>
      </c>
      <c r="M184" s="31">
        <f t="shared" si="7"/>
        <v>1</v>
      </c>
    </row>
    <row r="185" spans="1:13" x14ac:dyDescent="0.25">
      <c r="A185" s="38"/>
      <c r="B185" s="31"/>
      <c r="C185" s="31" t="s">
        <v>131</v>
      </c>
      <c r="D185" s="32">
        <v>4</v>
      </c>
      <c r="E185" s="32">
        <f t="shared" si="5"/>
        <v>21197.969543147206</v>
      </c>
      <c r="F185" s="31">
        <f t="shared" si="6"/>
        <v>4176000</v>
      </c>
      <c r="G185" s="31">
        <v>197</v>
      </c>
      <c r="H185" s="49">
        <v>12000</v>
      </c>
      <c r="I185" s="42" t="s">
        <v>116</v>
      </c>
      <c r="J185" s="31"/>
      <c r="K185" s="31"/>
      <c r="L185" s="32">
        <f>5+3+1*5+2*37</f>
        <v>87</v>
      </c>
      <c r="M185" s="31">
        <f t="shared" si="7"/>
        <v>87</v>
      </c>
    </row>
    <row r="186" spans="1:13" x14ac:dyDescent="0.25">
      <c r="A186" s="38"/>
      <c r="B186" s="31"/>
      <c r="C186" s="31" t="s">
        <v>133</v>
      </c>
      <c r="D186" s="32">
        <v>4</v>
      </c>
      <c r="E186" s="32">
        <f t="shared" si="5"/>
        <v>11451.776649746193</v>
      </c>
      <c r="F186" s="31">
        <f t="shared" si="6"/>
        <v>2256000</v>
      </c>
      <c r="G186" s="31">
        <v>197</v>
      </c>
      <c r="H186" s="49">
        <v>12000</v>
      </c>
      <c r="I186" s="42" t="s">
        <v>116</v>
      </c>
      <c r="J186" s="31"/>
      <c r="K186" s="31"/>
      <c r="L186" s="32">
        <f>3+2+5+37</f>
        <v>47</v>
      </c>
      <c r="M186" s="31">
        <f t="shared" si="7"/>
        <v>47</v>
      </c>
    </row>
    <row r="187" spans="1:13" x14ac:dyDescent="0.25">
      <c r="A187" s="38"/>
      <c r="B187" s="31"/>
      <c r="C187" s="31" t="s">
        <v>135</v>
      </c>
      <c r="D187" s="32">
        <v>6</v>
      </c>
      <c r="E187" s="32">
        <v>50000</v>
      </c>
      <c r="F187" s="31">
        <f>E187*G187</f>
        <v>9850000</v>
      </c>
      <c r="G187" s="31">
        <v>197</v>
      </c>
      <c r="H187" s="48" t="s">
        <v>173</v>
      </c>
      <c r="I187" s="42" t="s">
        <v>116</v>
      </c>
      <c r="J187" s="31"/>
      <c r="K187" s="31"/>
      <c r="L187" s="32">
        <v>5</v>
      </c>
      <c r="M187" s="31">
        <f t="shared" si="7"/>
        <v>5</v>
      </c>
    </row>
    <row r="188" spans="1:13" x14ac:dyDescent="0.25">
      <c r="A188" s="38"/>
      <c r="B188" s="31"/>
      <c r="C188" s="31" t="s">
        <v>136</v>
      </c>
      <c r="D188" s="32">
        <v>0</v>
      </c>
      <c r="E188" s="32">
        <f t="shared" si="5"/>
        <v>0</v>
      </c>
      <c r="F188" s="31">
        <f t="shared" si="6"/>
        <v>0</v>
      </c>
      <c r="G188" s="31">
        <v>197</v>
      </c>
      <c r="H188" s="49">
        <v>0</v>
      </c>
      <c r="I188" s="42" t="s">
        <v>116</v>
      </c>
      <c r="J188" s="31"/>
      <c r="K188" s="31"/>
      <c r="L188" s="32">
        <v>1000</v>
      </c>
      <c r="M188" s="31">
        <f t="shared" si="7"/>
        <v>1000</v>
      </c>
    </row>
    <row r="189" spans="1:13" x14ac:dyDescent="0.25">
      <c r="A189" s="38"/>
      <c r="B189" s="31"/>
      <c r="C189" s="31" t="s">
        <v>137</v>
      </c>
      <c r="D189" s="32">
        <v>74</v>
      </c>
      <c r="E189" s="32">
        <f t="shared" si="5"/>
        <v>45076.142131979694</v>
      </c>
      <c r="F189" s="31">
        <f t="shared" si="6"/>
        <v>8880000</v>
      </c>
      <c r="G189" s="31">
        <v>197</v>
      </c>
      <c r="H189" s="49">
        <v>12000</v>
      </c>
      <c r="I189" s="42" t="s">
        <v>116</v>
      </c>
      <c r="J189" s="31"/>
      <c r="K189" s="31"/>
      <c r="L189" s="32">
        <v>10</v>
      </c>
      <c r="M189" s="31">
        <f t="shared" si="7"/>
        <v>10</v>
      </c>
    </row>
    <row r="190" spans="1:13" ht="15.75" thickBot="1" x14ac:dyDescent="0.3">
      <c r="A190" s="38"/>
      <c r="B190" s="31"/>
      <c r="C190" s="31"/>
      <c r="D190" s="32"/>
      <c r="E190" s="32"/>
      <c r="F190" s="31"/>
      <c r="G190" s="31"/>
      <c r="H190" s="49"/>
      <c r="I190" s="42"/>
      <c r="J190" s="31"/>
      <c r="K190" s="31"/>
      <c r="L190" s="32"/>
      <c r="M190" s="31"/>
    </row>
    <row r="191" spans="1:13" ht="15.75" thickBot="1" x14ac:dyDescent="0.3">
      <c r="A191" s="38"/>
      <c r="B191" s="50"/>
      <c r="C191" s="51" t="s">
        <v>174</v>
      </c>
      <c r="D191" s="51" t="s">
        <v>175</v>
      </c>
      <c r="E191" s="35" t="s">
        <v>139</v>
      </c>
      <c r="F191" s="34" t="s">
        <v>140</v>
      </c>
      <c r="G191" s="34" t="s">
        <v>141</v>
      </c>
      <c r="H191" s="52" t="s">
        <v>176</v>
      </c>
      <c r="I191" s="51" t="s">
        <v>177</v>
      </c>
      <c r="J191" s="51" t="s">
        <v>178</v>
      </c>
      <c r="K191" s="31"/>
      <c r="L191" s="32"/>
      <c r="M191" s="31"/>
    </row>
    <row r="192" spans="1:13" x14ac:dyDescent="0.25">
      <c r="A192" s="38"/>
      <c r="B192" s="31" t="s">
        <v>179</v>
      </c>
      <c r="C192" s="31" t="s">
        <v>270</v>
      </c>
      <c r="D192" s="32">
        <v>349680</v>
      </c>
      <c r="E192" s="31">
        <f>F192/197</f>
        <v>172177.461928934</v>
      </c>
      <c r="F192" s="31">
        <f>D192*97</f>
        <v>33918960</v>
      </c>
      <c r="G192" s="31">
        <v>197</v>
      </c>
      <c r="H192" s="49" t="s">
        <v>180</v>
      </c>
      <c r="I192" s="53"/>
      <c r="J192" s="31" t="s">
        <v>181</v>
      </c>
      <c r="K192" s="31"/>
      <c r="L192" s="31" t="s">
        <v>182</v>
      </c>
      <c r="M192" s="31"/>
    </row>
    <row r="193" spans="1:13" x14ac:dyDescent="0.25">
      <c r="A193" s="38"/>
      <c r="B193" s="31"/>
      <c r="C193" s="31" t="s">
        <v>183</v>
      </c>
      <c r="D193" s="31">
        <v>20800</v>
      </c>
      <c r="E193" s="31">
        <f>F193/197</f>
        <v>10241.624365482234</v>
      </c>
      <c r="F193" s="31">
        <f t="shared" ref="F193:F195" si="8">D193*97</f>
        <v>2017600</v>
      </c>
      <c r="G193" s="31">
        <v>197</v>
      </c>
      <c r="H193" s="49" t="s">
        <v>184</v>
      </c>
      <c r="I193" s="31"/>
      <c r="J193" s="31" t="s">
        <v>181</v>
      </c>
      <c r="K193" s="31"/>
      <c r="L193" s="31" t="s">
        <v>185</v>
      </c>
      <c r="M193" s="31"/>
    </row>
    <row r="194" spans="1:13" x14ac:dyDescent="0.25">
      <c r="A194" s="38"/>
      <c r="B194" s="31"/>
      <c r="C194" s="31" t="s">
        <v>186</v>
      </c>
      <c r="D194" s="31">
        <v>63960</v>
      </c>
      <c r="E194" s="31">
        <f t="shared" ref="E194:E195" si="9">F194/197</f>
        <v>51168</v>
      </c>
      <c r="F194" s="31">
        <v>10080096</v>
      </c>
      <c r="G194" s="31">
        <v>197</v>
      </c>
      <c r="H194" s="49" t="s">
        <v>187</v>
      </c>
      <c r="I194" s="31"/>
      <c r="J194" s="31" t="s">
        <v>181</v>
      </c>
      <c r="K194" s="31"/>
      <c r="L194" s="31" t="s">
        <v>182</v>
      </c>
      <c r="M194" s="31"/>
    </row>
    <row r="195" spans="1:13" x14ac:dyDescent="0.25">
      <c r="A195" s="38"/>
      <c r="B195" s="31"/>
      <c r="C195" s="31" t="s">
        <v>188</v>
      </c>
      <c r="D195" s="31">
        <v>26936</v>
      </c>
      <c r="E195" s="31">
        <f t="shared" si="9"/>
        <v>13262.903553299493</v>
      </c>
      <c r="F195" s="31">
        <f t="shared" si="8"/>
        <v>2612792</v>
      </c>
      <c r="G195" s="31">
        <v>197</v>
      </c>
      <c r="H195" s="49" t="s">
        <v>189</v>
      </c>
      <c r="I195" s="31"/>
      <c r="J195" s="31" t="s">
        <v>181</v>
      </c>
      <c r="K195" s="31"/>
      <c r="L195" s="31" t="s">
        <v>185</v>
      </c>
      <c r="M195" s="31"/>
    </row>
    <row r="196" spans="1:13" x14ac:dyDescent="0.25">
      <c r="A196" s="38"/>
      <c r="B196" s="31" t="s">
        <v>190</v>
      </c>
      <c r="C196" s="31"/>
      <c r="D196" s="32"/>
      <c r="E196" s="32"/>
      <c r="F196" s="31"/>
      <c r="G196" s="31"/>
      <c r="H196" s="49"/>
      <c r="I196" s="42"/>
      <c r="J196" s="31"/>
      <c r="K196" s="31"/>
      <c r="L196" s="32"/>
      <c r="M196" s="31"/>
    </row>
    <row r="197" spans="1:13" x14ac:dyDescent="0.25">
      <c r="A197" s="38"/>
      <c r="B197" s="31"/>
      <c r="C197" s="31" t="s">
        <v>270</v>
      </c>
      <c r="D197" s="32"/>
      <c r="E197" s="32"/>
      <c r="F197" s="31"/>
      <c r="G197" s="31"/>
      <c r="H197" s="49" t="s">
        <v>191</v>
      </c>
      <c r="I197" s="42"/>
      <c r="J197" s="31"/>
      <c r="K197" s="31"/>
      <c r="L197" s="32"/>
      <c r="M197" s="31"/>
    </row>
    <row r="198" spans="1:13" x14ac:dyDescent="0.25">
      <c r="A198" s="38"/>
      <c r="B198" s="31"/>
      <c r="C198" s="31" t="s">
        <v>183</v>
      </c>
      <c r="D198" s="32"/>
      <c r="E198" s="32"/>
      <c r="F198" s="31"/>
      <c r="G198" s="31"/>
      <c r="H198" s="49" t="s">
        <v>192</v>
      </c>
      <c r="I198" s="42"/>
      <c r="J198" s="31"/>
      <c r="K198" s="31"/>
      <c r="L198" s="31"/>
      <c r="M198" s="31"/>
    </row>
    <row r="199" spans="1:13" x14ac:dyDescent="0.25">
      <c r="A199" s="38"/>
      <c r="B199" s="31"/>
      <c r="C199" s="31" t="s">
        <v>193</v>
      </c>
      <c r="D199" s="32"/>
      <c r="E199" s="32"/>
      <c r="F199" s="31"/>
      <c r="G199" s="31"/>
      <c r="H199" s="49"/>
      <c r="I199" s="42"/>
      <c r="J199" s="31"/>
      <c r="K199" s="31"/>
      <c r="L199" s="31"/>
      <c r="M199" s="31"/>
    </row>
    <row r="200" spans="1:13" x14ac:dyDescent="0.25">
      <c r="A200" s="38"/>
      <c r="B200" s="31"/>
      <c r="C200" s="31" t="s">
        <v>188</v>
      </c>
      <c r="D200" s="32"/>
      <c r="E200" s="32"/>
      <c r="F200" s="31"/>
      <c r="G200" s="31"/>
      <c r="H200" s="49" t="s">
        <v>194</v>
      </c>
      <c r="I200" s="42"/>
      <c r="J200" s="31"/>
      <c r="K200" s="31"/>
      <c r="L200" s="31"/>
      <c r="M200" s="31"/>
    </row>
    <row r="201" spans="1:13" x14ac:dyDescent="0.25">
      <c r="A201" s="38"/>
      <c r="B201" s="31"/>
      <c r="C201" s="31"/>
      <c r="D201" s="32"/>
      <c r="E201" s="32"/>
      <c r="F201" s="31"/>
      <c r="G201" s="31"/>
      <c r="H201" s="49"/>
      <c r="I201" s="42"/>
      <c r="J201" s="31"/>
      <c r="K201" s="31"/>
      <c r="L201" s="31"/>
      <c r="M201" s="31"/>
    </row>
    <row r="202" spans="1:13" x14ac:dyDescent="0.25">
      <c r="A202" s="38"/>
      <c r="B202" s="31"/>
      <c r="C202" s="31" t="s">
        <v>186</v>
      </c>
      <c r="D202" s="32"/>
      <c r="E202" s="32"/>
      <c r="F202" s="31"/>
      <c r="G202" s="31"/>
      <c r="H202" s="49" t="s">
        <v>195</v>
      </c>
      <c r="I202" s="54" t="s">
        <v>196</v>
      </c>
      <c r="J202" s="31" t="s">
        <v>181</v>
      </c>
      <c r="K202" s="31"/>
      <c r="L202" s="31"/>
      <c r="M202" s="31"/>
    </row>
    <row r="203" spans="1:13" ht="15.75" thickBot="1" x14ac:dyDescent="0.3">
      <c r="A203" s="31"/>
      <c r="B203" s="31"/>
      <c r="C203" s="31"/>
      <c r="D203" s="32"/>
      <c r="E203" s="32"/>
      <c r="F203" s="31"/>
      <c r="G203" s="31"/>
      <c r="H203" s="49"/>
      <c r="I203" s="31"/>
      <c r="J203" s="31"/>
      <c r="K203" s="31"/>
      <c r="L203" s="31"/>
      <c r="M203" s="31"/>
    </row>
    <row r="204" spans="1:13" ht="15.75" thickBot="1" x14ac:dyDescent="0.3">
      <c r="A204" s="31"/>
      <c r="B204" s="33" t="s">
        <v>197</v>
      </c>
      <c r="C204" s="34" t="s">
        <v>105</v>
      </c>
      <c r="D204" s="35" t="s">
        <v>106</v>
      </c>
      <c r="E204" s="35" t="s">
        <v>139</v>
      </c>
      <c r="F204" s="34" t="s">
        <v>140</v>
      </c>
      <c r="G204" s="34" t="s">
        <v>141</v>
      </c>
      <c r="H204" s="34" t="s">
        <v>109</v>
      </c>
      <c r="I204" s="37" t="s">
        <v>110</v>
      </c>
      <c r="J204" s="31"/>
      <c r="K204" s="31"/>
      <c r="L204" s="31"/>
      <c r="M204" s="31"/>
    </row>
    <row r="205" spans="1:13" x14ac:dyDescent="0.25">
      <c r="A205" s="45"/>
      <c r="B205" s="46" t="s">
        <v>198</v>
      </c>
      <c r="C205" s="31"/>
      <c r="D205" s="32"/>
      <c r="E205" s="32"/>
      <c r="F205" s="31"/>
      <c r="G205" s="31"/>
      <c r="H205" s="31"/>
      <c r="I205" s="41" t="s">
        <v>199</v>
      </c>
      <c r="J205" s="31" t="s">
        <v>200</v>
      </c>
      <c r="K205" s="31"/>
      <c r="L205" s="31"/>
      <c r="M205" s="31"/>
    </row>
    <row r="206" spans="1:13" x14ac:dyDescent="0.25">
      <c r="A206" s="45"/>
      <c r="B206" s="31"/>
      <c r="C206" s="31" t="s">
        <v>201</v>
      </c>
      <c r="D206" s="32" t="s">
        <v>202</v>
      </c>
      <c r="E206" s="55">
        <v>220000</v>
      </c>
      <c r="F206" s="31">
        <f>E206*G206</f>
        <v>43340000</v>
      </c>
      <c r="G206" s="31">
        <v>197</v>
      </c>
      <c r="H206" s="31"/>
      <c r="I206" s="42" t="s">
        <v>116</v>
      </c>
      <c r="J206" s="31"/>
      <c r="K206" s="31"/>
      <c r="L206" s="31"/>
      <c r="M206" s="31"/>
    </row>
    <row r="207" spans="1:13" x14ac:dyDescent="0.25">
      <c r="A207" s="45"/>
      <c r="B207" s="46" t="s">
        <v>203</v>
      </c>
      <c r="C207" s="31"/>
      <c r="D207" s="32"/>
      <c r="E207" s="56"/>
      <c r="F207" s="31">
        <f t="shared" ref="F207:F222" si="10">E207*G207</f>
        <v>0</v>
      </c>
      <c r="G207" s="31">
        <v>197</v>
      </c>
      <c r="H207" s="31"/>
      <c r="I207" s="42" t="s">
        <v>116</v>
      </c>
      <c r="J207" s="31" t="s">
        <v>204</v>
      </c>
      <c r="K207" s="31"/>
      <c r="L207" s="31"/>
      <c r="M207" s="31"/>
    </row>
    <row r="208" spans="1:13" x14ac:dyDescent="0.25">
      <c r="A208" s="45"/>
      <c r="B208" s="31"/>
      <c r="C208" s="31" t="s">
        <v>205</v>
      </c>
      <c r="D208" s="32"/>
      <c r="E208" s="56">
        <v>324000</v>
      </c>
      <c r="F208" s="31">
        <f t="shared" si="10"/>
        <v>63828000</v>
      </c>
      <c r="G208" s="31">
        <v>197</v>
      </c>
      <c r="H208" s="31"/>
      <c r="I208" s="42" t="s">
        <v>116</v>
      </c>
      <c r="J208" s="31"/>
      <c r="K208" s="31"/>
      <c r="L208" s="31"/>
      <c r="M208" s="31"/>
    </row>
    <row r="209" spans="1:13" x14ac:dyDescent="0.25">
      <c r="A209" s="45"/>
      <c r="B209" s="46"/>
      <c r="C209" s="31"/>
      <c r="D209" s="32"/>
      <c r="E209" s="56"/>
      <c r="F209" s="31">
        <f t="shared" si="10"/>
        <v>0</v>
      </c>
      <c r="G209" s="31">
        <v>197</v>
      </c>
      <c r="H209" s="31"/>
      <c r="I209" s="42" t="s">
        <v>116</v>
      </c>
      <c r="J209" s="31"/>
      <c r="K209" s="31"/>
      <c r="L209" s="31"/>
      <c r="M209" s="31"/>
    </row>
    <row r="210" spans="1:13" x14ac:dyDescent="0.25">
      <c r="A210" s="45"/>
      <c r="B210" s="46" t="s">
        <v>206</v>
      </c>
      <c r="C210" s="31"/>
      <c r="D210" s="32"/>
      <c r="E210" s="56"/>
      <c r="F210" s="31">
        <f t="shared" si="10"/>
        <v>0</v>
      </c>
      <c r="G210" s="31">
        <v>197</v>
      </c>
      <c r="H210" s="31"/>
      <c r="I210" s="42" t="s">
        <v>116</v>
      </c>
      <c r="J210" s="31"/>
      <c r="K210" s="31"/>
      <c r="L210" s="31"/>
      <c r="M210" s="31"/>
    </row>
    <row r="211" spans="1:13" x14ac:dyDescent="0.25">
      <c r="A211" s="45"/>
      <c r="B211" s="46"/>
      <c r="C211" s="31" t="s">
        <v>207</v>
      </c>
      <c r="D211" s="32">
        <v>80</v>
      </c>
      <c r="E211" s="56">
        <v>54000</v>
      </c>
      <c r="F211" s="31">
        <f>E211*G211</f>
        <v>10638000</v>
      </c>
      <c r="G211" s="31">
        <v>197</v>
      </c>
      <c r="H211" s="31"/>
      <c r="I211" s="42" t="s">
        <v>116</v>
      </c>
      <c r="J211" s="31"/>
      <c r="K211" s="31"/>
      <c r="L211" s="31"/>
      <c r="M211" s="31"/>
    </row>
    <row r="212" spans="1:13" x14ac:dyDescent="0.25">
      <c r="A212" s="45"/>
      <c r="B212" s="46"/>
      <c r="C212" s="31" t="s">
        <v>208</v>
      </c>
      <c r="D212" s="32">
        <v>40</v>
      </c>
      <c r="E212" s="56">
        <v>24000</v>
      </c>
      <c r="F212" s="31">
        <f t="shared" ref="F212:F214" si="11">E212*G212</f>
        <v>4728000</v>
      </c>
      <c r="G212" s="31">
        <v>197</v>
      </c>
      <c r="H212" s="31"/>
      <c r="I212" s="42" t="s">
        <v>116</v>
      </c>
      <c r="J212" s="31"/>
      <c r="K212" s="31"/>
      <c r="L212" s="31"/>
      <c r="M212" s="31"/>
    </row>
    <row r="213" spans="1:13" x14ac:dyDescent="0.25">
      <c r="A213" s="45"/>
      <c r="B213" s="46"/>
      <c r="C213" s="31" t="s">
        <v>209</v>
      </c>
      <c r="D213" s="32">
        <v>9</v>
      </c>
      <c r="E213" s="56">
        <v>200000</v>
      </c>
      <c r="F213" s="31">
        <f t="shared" si="11"/>
        <v>39400000</v>
      </c>
      <c r="G213" s="31">
        <v>197</v>
      </c>
      <c r="H213" s="31"/>
      <c r="I213" s="42" t="s">
        <v>116</v>
      </c>
      <c r="J213" s="31"/>
      <c r="K213" s="31"/>
      <c r="L213" s="31"/>
      <c r="M213" s="31"/>
    </row>
    <row r="214" spans="1:13" x14ac:dyDescent="0.25">
      <c r="A214" s="45"/>
      <c r="B214" s="46"/>
      <c r="C214" s="31" t="s">
        <v>210</v>
      </c>
      <c r="D214" s="32">
        <v>1</v>
      </c>
      <c r="E214" s="56">
        <v>100000</v>
      </c>
      <c r="F214" s="31">
        <f t="shared" si="11"/>
        <v>19700000</v>
      </c>
      <c r="G214" s="31">
        <v>197</v>
      </c>
      <c r="H214" s="31"/>
      <c r="I214" s="42" t="s">
        <v>116</v>
      </c>
      <c r="J214" s="31"/>
      <c r="K214" s="31"/>
      <c r="L214" s="31"/>
      <c r="M214" s="31"/>
    </row>
    <row r="215" spans="1:13" x14ac:dyDescent="0.25">
      <c r="A215" s="45"/>
      <c r="B215" s="31"/>
      <c r="C215" s="31" t="s">
        <v>211</v>
      </c>
      <c r="D215" s="32" t="s">
        <v>202</v>
      </c>
      <c r="E215" s="56">
        <v>280000</v>
      </c>
      <c r="F215" s="31">
        <f t="shared" si="10"/>
        <v>55160000</v>
      </c>
      <c r="G215" s="31">
        <v>197</v>
      </c>
      <c r="H215" s="31"/>
      <c r="I215" s="42" t="s">
        <v>116</v>
      </c>
      <c r="J215" s="31"/>
      <c r="K215" s="31"/>
      <c r="L215" s="31"/>
      <c r="M215" s="31"/>
    </row>
    <row r="216" spans="1:13" x14ac:dyDescent="0.25">
      <c r="A216" s="45"/>
      <c r="B216" s="46" t="s">
        <v>212</v>
      </c>
      <c r="C216" s="31"/>
      <c r="D216" s="32"/>
      <c r="E216" s="32"/>
      <c r="F216" s="31">
        <f t="shared" si="10"/>
        <v>0</v>
      </c>
      <c r="G216" s="31">
        <v>197</v>
      </c>
      <c r="H216" s="31"/>
      <c r="I216" s="42" t="s">
        <v>116</v>
      </c>
      <c r="J216" s="31"/>
      <c r="K216" s="31"/>
      <c r="L216" s="31"/>
      <c r="M216" s="31"/>
    </row>
    <row r="217" spans="1:13" x14ac:dyDescent="0.25">
      <c r="A217" s="45"/>
      <c r="B217" s="31"/>
      <c r="C217" s="31" t="s">
        <v>213</v>
      </c>
      <c r="D217" s="32" t="s">
        <v>202</v>
      </c>
      <c r="E217" s="56">
        <v>99880</v>
      </c>
      <c r="F217" s="31">
        <f t="shared" si="10"/>
        <v>19676360</v>
      </c>
      <c r="G217" s="31">
        <v>197</v>
      </c>
      <c r="H217" s="31"/>
      <c r="I217" s="42" t="s">
        <v>116</v>
      </c>
      <c r="J217" s="31"/>
      <c r="K217" s="31"/>
      <c r="L217" s="31"/>
      <c r="M217" s="31"/>
    </row>
    <row r="218" spans="1:13" x14ac:dyDescent="0.25">
      <c r="A218" s="45"/>
      <c r="B218" s="31"/>
      <c r="C218" s="31" t="s">
        <v>214</v>
      </c>
      <c r="D218" s="32"/>
      <c r="E218" s="57">
        <v>500000</v>
      </c>
      <c r="F218" s="31">
        <f t="shared" si="10"/>
        <v>98500000</v>
      </c>
      <c r="G218" s="31">
        <v>197</v>
      </c>
      <c r="H218" s="31"/>
      <c r="I218" s="42" t="s">
        <v>116</v>
      </c>
      <c r="J218" s="31"/>
      <c r="K218" s="31"/>
      <c r="L218" s="31"/>
      <c r="M218" s="31"/>
    </row>
    <row r="219" spans="1:13" x14ac:dyDescent="0.25">
      <c r="A219" s="45"/>
      <c r="B219" s="46"/>
      <c r="C219" s="31" t="s">
        <v>215</v>
      </c>
      <c r="D219" s="32" t="s">
        <v>216</v>
      </c>
      <c r="E219" s="56">
        <v>99990</v>
      </c>
      <c r="F219" s="31">
        <f t="shared" si="10"/>
        <v>19698030</v>
      </c>
      <c r="G219" s="31">
        <v>197</v>
      </c>
      <c r="H219" s="31"/>
      <c r="I219" s="42" t="s">
        <v>116</v>
      </c>
      <c r="J219" s="31"/>
      <c r="K219" s="31"/>
      <c r="L219" s="31"/>
      <c r="M219" s="31"/>
    </row>
    <row r="220" spans="1:13" x14ac:dyDescent="0.25">
      <c r="A220" s="45"/>
      <c r="B220" s="46" t="s">
        <v>217</v>
      </c>
      <c r="C220" s="31"/>
      <c r="D220" s="32"/>
      <c r="E220" s="32"/>
      <c r="F220" s="31">
        <f t="shared" si="10"/>
        <v>0</v>
      </c>
      <c r="G220" s="31">
        <v>197</v>
      </c>
      <c r="H220" s="31"/>
      <c r="I220" s="42" t="s">
        <v>116</v>
      </c>
      <c r="J220" s="31"/>
      <c r="K220" s="31"/>
      <c r="L220" s="31"/>
      <c r="M220" s="31"/>
    </row>
    <row r="221" spans="1:13" x14ac:dyDescent="0.25">
      <c r="A221" s="45"/>
      <c r="B221" s="31"/>
      <c r="C221" s="31" t="s">
        <v>218</v>
      </c>
      <c r="D221" s="32" t="s">
        <v>202</v>
      </c>
      <c r="E221" s="56">
        <v>99800</v>
      </c>
      <c r="F221" s="31">
        <f t="shared" si="10"/>
        <v>19660600</v>
      </c>
      <c r="G221" s="31">
        <v>197</v>
      </c>
      <c r="H221" s="31"/>
      <c r="I221" s="42" t="s">
        <v>116</v>
      </c>
      <c r="J221" s="31"/>
      <c r="K221" s="31"/>
      <c r="L221" s="31"/>
      <c r="M221" s="31"/>
    </row>
    <row r="222" spans="1:13" x14ac:dyDescent="0.25">
      <c r="A222" s="31"/>
      <c r="B222" s="31"/>
      <c r="C222" s="31"/>
      <c r="D222" s="32" t="s">
        <v>50</v>
      </c>
      <c r="E222" s="32"/>
      <c r="F222" s="31">
        <f t="shared" si="10"/>
        <v>0</v>
      </c>
      <c r="G222" s="31">
        <v>197</v>
      </c>
      <c r="H222" s="31"/>
      <c r="I222" s="42" t="s">
        <v>116</v>
      </c>
      <c r="J222" s="31"/>
      <c r="K222" s="31"/>
      <c r="L222" s="31"/>
      <c r="M222" s="31"/>
    </row>
    <row r="223" spans="1:13" x14ac:dyDescent="0.25">
      <c r="A223" s="31"/>
      <c r="B223" s="31"/>
      <c r="C223" s="31"/>
      <c r="D223" s="32"/>
      <c r="E223" s="32"/>
      <c r="F223" s="31"/>
      <c r="G223" s="31"/>
      <c r="H223" s="31"/>
      <c r="I223" s="42"/>
      <c r="J223" s="31"/>
      <c r="K223" s="31"/>
      <c r="L223" s="31"/>
      <c r="M223" s="31"/>
    </row>
    <row r="224" spans="1:13" x14ac:dyDescent="0.25">
      <c r="A224" s="31"/>
      <c r="B224" s="31"/>
      <c r="C224" s="31"/>
      <c r="D224" s="32"/>
      <c r="E224" s="32"/>
      <c r="F224" s="31"/>
      <c r="G224" s="31"/>
      <c r="H224" s="31"/>
      <c r="I224" s="42"/>
      <c r="J224" s="31"/>
      <c r="K224" s="31"/>
      <c r="L224" s="31"/>
      <c r="M224" s="31"/>
    </row>
    <row r="225" spans="1:13" x14ac:dyDescent="0.25">
      <c r="A225" s="31"/>
      <c r="B225" s="31"/>
      <c r="C225" s="31"/>
      <c r="D225" s="32"/>
      <c r="E225" s="32"/>
      <c r="F225" s="31"/>
      <c r="G225" s="31"/>
      <c r="H225" s="31"/>
      <c r="I225" s="42"/>
      <c r="J225" s="31"/>
      <c r="K225" s="31"/>
      <c r="L225" s="31"/>
      <c r="M225" s="31"/>
    </row>
    <row r="226" spans="1:13" ht="15.75" thickBot="1" x14ac:dyDescent="0.3">
      <c r="A226" s="31"/>
      <c r="B226" s="31"/>
      <c r="C226" s="31"/>
      <c r="D226" s="32"/>
      <c r="E226" s="32"/>
      <c r="F226" s="31"/>
      <c r="G226" s="31"/>
      <c r="H226" s="31"/>
      <c r="I226" s="42"/>
      <c r="J226" s="31"/>
      <c r="K226" s="31"/>
      <c r="L226" s="31"/>
      <c r="M226" s="31"/>
    </row>
    <row r="227" spans="1:13" ht="15.75" thickBot="1" x14ac:dyDescent="0.3">
      <c r="A227" s="31"/>
      <c r="B227" s="33" t="s">
        <v>219</v>
      </c>
      <c r="C227" s="34" t="s">
        <v>105</v>
      </c>
      <c r="D227" s="35" t="s">
        <v>106</v>
      </c>
      <c r="E227" s="35" t="s">
        <v>139</v>
      </c>
      <c r="F227" s="34" t="s">
        <v>220</v>
      </c>
      <c r="G227" s="34" t="s">
        <v>108</v>
      </c>
      <c r="H227" s="34" t="s">
        <v>109</v>
      </c>
      <c r="I227" s="37" t="s">
        <v>110</v>
      </c>
      <c r="J227" s="31"/>
      <c r="K227" s="31"/>
      <c r="L227" s="31"/>
      <c r="M227" s="31"/>
    </row>
    <row r="228" spans="1:13" x14ac:dyDescent="0.25">
      <c r="A228" s="38"/>
      <c r="B228" s="46" t="s">
        <v>221</v>
      </c>
      <c r="C228" s="31"/>
      <c r="D228" s="32"/>
      <c r="E228" s="32"/>
      <c r="F228" s="31"/>
      <c r="G228" s="31"/>
      <c r="H228" s="31"/>
      <c r="I228" s="41" t="s">
        <v>199</v>
      </c>
      <c r="J228" s="31" t="s">
        <v>200</v>
      </c>
      <c r="K228" s="31"/>
      <c r="L228" s="31"/>
      <c r="M228" s="31"/>
    </row>
    <row r="229" spans="1:13" x14ac:dyDescent="0.25">
      <c r="A229" s="38"/>
      <c r="B229" s="31"/>
      <c r="C229" s="31" t="s">
        <v>222</v>
      </c>
      <c r="D229" s="32"/>
      <c r="E229" s="32"/>
      <c r="F229" s="31"/>
      <c r="G229" s="31"/>
      <c r="H229" s="31"/>
      <c r="I229" s="42" t="s">
        <v>116</v>
      </c>
      <c r="J229" s="31"/>
      <c r="K229" s="31"/>
      <c r="L229" s="31"/>
      <c r="M229" s="31"/>
    </row>
    <row r="230" spans="1:13" x14ac:dyDescent="0.25">
      <c r="A230" s="38"/>
      <c r="B230" s="31"/>
      <c r="C230" s="31" t="s">
        <v>223</v>
      </c>
      <c r="D230" s="32"/>
      <c r="E230" s="32"/>
      <c r="F230" s="31"/>
      <c r="G230" s="31"/>
      <c r="H230" s="31"/>
      <c r="I230" s="42" t="s">
        <v>116</v>
      </c>
      <c r="J230" s="31"/>
      <c r="K230" s="31"/>
      <c r="L230" s="31"/>
      <c r="M230" s="31"/>
    </row>
    <row r="231" spans="1:13" x14ac:dyDescent="0.25">
      <c r="A231" s="38"/>
      <c r="B231" s="31"/>
      <c r="C231" s="31" t="s">
        <v>224</v>
      </c>
      <c r="D231" s="32"/>
      <c r="E231" s="32"/>
      <c r="F231" s="31"/>
      <c r="G231" s="31"/>
      <c r="H231" s="31"/>
      <c r="I231" s="42" t="s">
        <v>116</v>
      </c>
      <c r="J231" s="31"/>
      <c r="K231" s="31"/>
      <c r="L231" s="31"/>
      <c r="M231" s="31"/>
    </row>
    <row r="232" spans="1:13" x14ac:dyDescent="0.25">
      <c r="A232" s="38"/>
      <c r="B232" s="46"/>
      <c r="C232" s="31" t="s">
        <v>225</v>
      </c>
      <c r="D232" s="32"/>
      <c r="E232" s="32"/>
      <c r="F232" s="31"/>
      <c r="G232" s="31"/>
      <c r="H232" s="31"/>
      <c r="I232" s="42" t="s">
        <v>116</v>
      </c>
      <c r="J232" s="31"/>
      <c r="K232" s="31"/>
      <c r="L232" s="31"/>
      <c r="M232" s="31"/>
    </row>
    <row r="233" spans="1:13" x14ac:dyDescent="0.25">
      <c r="A233" s="38"/>
      <c r="B233" s="31"/>
      <c r="C233" s="31" t="s">
        <v>226</v>
      </c>
      <c r="D233" s="32" t="s">
        <v>202</v>
      </c>
      <c r="E233" s="56">
        <v>372921</v>
      </c>
      <c r="F233" s="31">
        <f>E233*G233</f>
        <v>73465437</v>
      </c>
      <c r="G233" s="31">
        <v>197</v>
      </c>
      <c r="H233" s="31"/>
      <c r="I233" s="42" t="s">
        <v>116</v>
      </c>
      <c r="J233" s="31"/>
      <c r="K233" s="31"/>
      <c r="L233" s="31"/>
      <c r="M233" s="31"/>
    </row>
    <row r="234" spans="1:13" x14ac:dyDescent="0.25">
      <c r="A234" s="38"/>
      <c r="B234" s="31"/>
      <c r="C234" s="31" t="s">
        <v>227</v>
      </c>
      <c r="D234" s="32"/>
      <c r="E234" s="32"/>
      <c r="F234" s="31"/>
      <c r="G234" s="31"/>
      <c r="H234" s="31"/>
      <c r="I234" s="42" t="s">
        <v>116</v>
      </c>
      <c r="J234" s="31"/>
      <c r="K234" s="31"/>
      <c r="L234" s="31"/>
      <c r="M234" s="31"/>
    </row>
    <row r="235" spans="1:13" x14ac:dyDescent="0.25">
      <c r="A235" s="38"/>
      <c r="B235" s="31"/>
      <c r="C235" s="31" t="s">
        <v>228</v>
      </c>
      <c r="D235" s="32"/>
      <c r="E235" s="32"/>
      <c r="F235" s="31"/>
      <c r="G235" s="31"/>
      <c r="H235" s="31"/>
      <c r="I235" s="42" t="s">
        <v>116</v>
      </c>
      <c r="J235" s="31"/>
      <c r="K235" s="31"/>
      <c r="L235" s="31"/>
      <c r="M235" s="31"/>
    </row>
    <row r="236" spans="1:13" x14ac:dyDescent="0.25">
      <c r="A236" s="38"/>
      <c r="B236" s="31"/>
      <c r="C236" s="31" t="s">
        <v>229</v>
      </c>
      <c r="D236" s="32"/>
      <c r="E236" s="32"/>
      <c r="F236" s="31"/>
      <c r="G236" s="31"/>
      <c r="H236" s="31"/>
      <c r="I236" s="42" t="s">
        <v>116</v>
      </c>
      <c r="J236" s="31"/>
      <c r="K236" s="31"/>
      <c r="L236" s="31"/>
      <c r="M236" s="31"/>
    </row>
    <row r="237" spans="1:13" x14ac:dyDescent="0.25">
      <c r="A237" s="38"/>
      <c r="B237" s="46"/>
      <c r="C237" s="31" t="s">
        <v>230</v>
      </c>
      <c r="D237" s="32"/>
      <c r="E237" s="32"/>
      <c r="F237" s="31"/>
      <c r="G237" s="31"/>
      <c r="H237" s="31"/>
      <c r="I237" s="42" t="s">
        <v>116</v>
      </c>
      <c r="J237" s="31"/>
      <c r="K237" s="31"/>
      <c r="L237" s="31"/>
      <c r="M237" s="31"/>
    </row>
    <row r="238" spans="1:13" x14ac:dyDescent="0.25">
      <c r="A238" s="38"/>
      <c r="B238" s="31"/>
      <c r="C238" s="31" t="s">
        <v>231</v>
      </c>
      <c r="D238" s="32"/>
      <c r="E238" s="32"/>
      <c r="F238" s="31"/>
      <c r="G238" s="31"/>
      <c r="H238" s="31"/>
      <c r="I238" s="42" t="s">
        <v>116</v>
      </c>
      <c r="J238" s="31"/>
      <c r="K238" s="31"/>
      <c r="L238" s="31"/>
      <c r="M238" s="31"/>
    </row>
    <row r="239" spans="1:13" x14ac:dyDescent="0.25">
      <c r="A239" s="38"/>
      <c r="B239" s="31"/>
      <c r="C239" s="31" t="s">
        <v>232</v>
      </c>
      <c r="D239" s="32"/>
      <c r="E239" s="32"/>
      <c r="F239" s="31"/>
      <c r="G239" s="31"/>
      <c r="H239" s="31"/>
      <c r="I239" s="42" t="s">
        <v>116</v>
      </c>
      <c r="J239" s="31"/>
      <c r="K239" s="31"/>
      <c r="L239" s="31"/>
      <c r="M239" s="31"/>
    </row>
    <row r="240" spans="1:13" x14ac:dyDescent="0.25">
      <c r="A240" s="38"/>
      <c r="B240" s="31"/>
      <c r="C240" s="31"/>
      <c r="D240" s="32"/>
      <c r="E240" s="32"/>
      <c r="F240" s="31"/>
      <c r="G240" s="31"/>
      <c r="H240" s="31"/>
      <c r="I240" s="42" t="s">
        <v>116</v>
      </c>
      <c r="J240" s="31"/>
      <c r="K240" s="31"/>
      <c r="L240" s="31"/>
      <c r="M240" s="31"/>
    </row>
    <row r="241" spans="1:13" x14ac:dyDescent="0.25">
      <c r="A241" s="38"/>
      <c r="B241" s="46" t="s">
        <v>233</v>
      </c>
      <c r="C241" s="31"/>
      <c r="D241" s="32"/>
      <c r="E241" s="32"/>
      <c r="F241" s="31"/>
      <c r="G241" s="31"/>
      <c r="H241" s="31"/>
      <c r="I241" s="42"/>
      <c r="J241" s="31"/>
      <c r="K241" s="31"/>
      <c r="L241" s="31"/>
      <c r="M241" s="31"/>
    </row>
    <row r="242" spans="1:13" x14ac:dyDescent="0.25">
      <c r="A242" s="38"/>
      <c r="B242" s="46"/>
      <c r="C242" s="31" t="s">
        <v>234</v>
      </c>
      <c r="D242" s="32"/>
      <c r="E242" s="58">
        <f>F242/G242</f>
        <v>4053602.4365482233</v>
      </c>
      <c r="F242" s="32">
        <v>798559680</v>
      </c>
      <c r="G242" s="31">
        <v>197</v>
      </c>
      <c r="H242" s="31"/>
      <c r="I242" s="41" t="s">
        <v>112</v>
      </c>
      <c r="J242" s="31" t="s">
        <v>113</v>
      </c>
      <c r="K242" s="31"/>
      <c r="L242" s="31"/>
      <c r="M242" s="31"/>
    </row>
    <row r="243" spans="1:13" ht="15.75" thickBot="1" x14ac:dyDescent="0.3">
      <c r="A243" s="31"/>
      <c r="B243" s="31"/>
      <c r="C243" s="31"/>
      <c r="D243" s="32"/>
      <c r="E243" s="32"/>
      <c r="F243" s="31"/>
      <c r="G243" s="31"/>
      <c r="H243" s="31"/>
      <c r="I243" s="42"/>
      <c r="J243" s="31"/>
      <c r="K243" s="31"/>
      <c r="L243" s="31"/>
      <c r="M243" s="31"/>
    </row>
    <row r="244" spans="1:13" ht="15.75" thickBot="1" x14ac:dyDescent="0.3">
      <c r="A244" s="31"/>
      <c r="B244" s="33" t="s">
        <v>235</v>
      </c>
      <c r="C244" s="34" t="s">
        <v>105</v>
      </c>
      <c r="D244" s="35" t="s">
        <v>106</v>
      </c>
      <c r="E244" s="35" t="s">
        <v>139</v>
      </c>
      <c r="F244" s="34" t="s">
        <v>140</v>
      </c>
      <c r="G244" s="34" t="s">
        <v>141</v>
      </c>
      <c r="H244" s="34"/>
      <c r="I244" s="37" t="s">
        <v>110</v>
      </c>
      <c r="J244" s="31"/>
      <c r="K244" s="31"/>
      <c r="L244" s="31"/>
      <c r="M244" s="31"/>
    </row>
    <row r="245" spans="1:13" x14ac:dyDescent="0.25">
      <c r="A245" s="31"/>
      <c r="B245" s="46" t="s">
        <v>236</v>
      </c>
      <c r="C245" s="31"/>
      <c r="D245" s="32"/>
      <c r="E245" s="32"/>
      <c r="F245" s="31"/>
      <c r="G245" s="31"/>
      <c r="H245" s="31"/>
      <c r="I245" s="41" t="s">
        <v>112</v>
      </c>
      <c r="J245" s="31" t="s">
        <v>113</v>
      </c>
      <c r="K245" s="31"/>
      <c r="L245" s="31"/>
      <c r="M245" s="31"/>
    </row>
    <row r="246" spans="1:13" x14ac:dyDescent="0.25">
      <c r="A246" s="45"/>
      <c r="B246" s="31"/>
      <c r="C246" s="31" t="s">
        <v>237</v>
      </c>
      <c r="D246" s="32" t="s">
        <v>238</v>
      </c>
      <c r="E246" s="32">
        <f>F246/G246</f>
        <v>1015228.4263959391</v>
      </c>
      <c r="F246" s="31">
        <v>200000000</v>
      </c>
      <c r="G246" s="31">
        <v>197</v>
      </c>
      <c r="H246" s="31"/>
      <c r="I246" s="42" t="s">
        <v>116</v>
      </c>
      <c r="J246" s="31"/>
      <c r="K246" s="31"/>
      <c r="L246" s="31"/>
      <c r="M246" s="31"/>
    </row>
    <row r="247" spans="1:13" x14ac:dyDescent="0.25">
      <c r="A247" s="45"/>
      <c r="B247" s="31"/>
      <c r="C247" s="31" t="s">
        <v>239</v>
      </c>
      <c r="D247" s="32" t="s">
        <v>240</v>
      </c>
      <c r="E247" s="32">
        <f>F247/G247</f>
        <v>730964.46700507612</v>
      </c>
      <c r="F247" s="31">
        <v>144000000</v>
      </c>
      <c r="G247" s="31">
        <v>197</v>
      </c>
      <c r="H247" s="31"/>
      <c r="I247" s="42" t="s">
        <v>116</v>
      </c>
      <c r="J247" s="31"/>
      <c r="K247" s="31"/>
      <c r="L247" s="31"/>
      <c r="M247" s="31"/>
    </row>
    <row r="248" spans="1:13" x14ac:dyDescent="0.25">
      <c r="A248" s="45"/>
      <c r="B248" s="31"/>
      <c r="C248" s="31" t="s">
        <v>241</v>
      </c>
      <c r="D248" s="32" t="s">
        <v>242</v>
      </c>
      <c r="E248" s="32">
        <f t="shared" ref="E248:E249" si="12">F248/G248</f>
        <v>761421.31979695428</v>
      </c>
      <c r="F248" s="31">
        <v>150000000</v>
      </c>
      <c r="G248" s="31">
        <v>197</v>
      </c>
      <c r="H248" s="31"/>
      <c r="I248" s="42" t="s">
        <v>116</v>
      </c>
      <c r="J248" s="31"/>
      <c r="K248" s="31"/>
      <c r="L248" s="31"/>
      <c r="M248" s="31"/>
    </row>
    <row r="249" spans="1:13" x14ac:dyDescent="0.25">
      <c r="A249" s="45"/>
      <c r="B249" s="46"/>
      <c r="C249" s="31" t="s">
        <v>243</v>
      </c>
      <c r="D249" s="32" t="s">
        <v>244</v>
      </c>
      <c r="E249" s="32">
        <f t="shared" si="12"/>
        <v>1522842.6395939086</v>
      </c>
      <c r="F249" s="31">
        <v>300000000</v>
      </c>
      <c r="G249" s="31">
        <v>197</v>
      </c>
      <c r="H249" s="31"/>
      <c r="I249" s="42" t="s">
        <v>116</v>
      </c>
      <c r="J249" s="31" t="s">
        <v>245</v>
      </c>
      <c r="K249" s="31"/>
      <c r="L249" s="31"/>
      <c r="M249" s="31"/>
    </row>
    <row r="250" spans="1:13" x14ac:dyDescent="0.25">
      <c r="A250" s="45"/>
      <c r="B250" s="31"/>
      <c r="C250" s="31"/>
      <c r="D250" s="32"/>
      <c r="E250" s="32"/>
      <c r="F250" s="31"/>
      <c r="G250" s="31"/>
      <c r="H250" s="31"/>
      <c r="I250" s="42" t="s">
        <v>116</v>
      </c>
      <c r="J250" s="31"/>
      <c r="K250" s="31"/>
      <c r="L250" s="31"/>
      <c r="M250" s="31"/>
    </row>
    <row r="251" spans="1:13" x14ac:dyDescent="0.25">
      <c r="A251" s="45"/>
      <c r="B251" s="46" t="s">
        <v>164</v>
      </c>
      <c r="C251" s="31"/>
      <c r="D251" s="32"/>
      <c r="E251" s="32"/>
      <c r="F251" s="31"/>
      <c r="G251" s="31"/>
      <c r="H251" s="31"/>
      <c r="I251" s="42" t="s">
        <v>116</v>
      </c>
      <c r="J251" s="31"/>
      <c r="K251" s="31"/>
      <c r="L251" s="31"/>
      <c r="M251" s="31"/>
    </row>
    <row r="252" spans="1:13" x14ac:dyDescent="0.25">
      <c r="A252" s="45"/>
      <c r="B252" s="46"/>
      <c r="C252" s="31" t="s">
        <v>246</v>
      </c>
      <c r="D252" s="32">
        <v>47</v>
      </c>
      <c r="E252" s="32">
        <f>50000*47</f>
        <v>2350000</v>
      </c>
      <c r="F252" s="31">
        <f>E252*G252</f>
        <v>462950000</v>
      </c>
      <c r="G252" s="31">
        <v>197</v>
      </c>
      <c r="H252" s="31"/>
      <c r="I252" s="42" t="s">
        <v>116</v>
      </c>
      <c r="J252" s="31"/>
      <c r="K252" s="31"/>
      <c r="L252" s="31"/>
      <c r="M252" s="31"/>
    </row>
    <row r="253" spans="1:13" x14ac:dyDescent="0.25">
      <c r="A253" s="45"/>
      <c r="B253" s="31"/>
      <c r="C253" s="31" t="s">
        <v>247</v>
      </c>
      <c r="D253" s="32">
        <v>5</v>
      </c>
      <c r="E253" s="32">
        <v>165000</v>
      </c>
      <c r="F253" s="31">
        <f t="shared" ref="F253:F255" si="13">E253*G253</f>
        <v>32505000</v>
      </c>
      <c r="G253" s="31">
        <v>197</v>
      </c>
      <c r="H253" s="31"/>
      <c r="I253" s="42" t="s">
        <v>116</v>
      </c>
      <c r="J253" s="31"/>
      <c r="K253" s="31"/>
      <c r="L253" s="31"/>
      <c r="M253" s="31"/>
    </row>
    <row r="254" spans="1:13" x14ac:dyDescent="0.25">
      <c r="A254" s="45"/>
      <c r="B254" s="46"/>
      <c r="C254" s="31" t="s">
        <v>167</v>
      </c>
      <c r="D254" s="32">
        <v>0</v>
      </c>
      <c r="E254" s="32"/>
      <c r="F254" s="31">
        <f t="shared" si="13"/>
        <v>0</v>
      </c>
      <c r="G254" s="31">
        <v>197</v>
      </c>
      <c r="H254" s="31"/>
      <c r="I254" s="42" t="s">
        <v>116</v>
      </c>
      <c r="J254" s="31"/>
      <c r="K254" s="31"/>
      <c r="L254" s="31"/>
      <c r="M254" s="31"/>
    </row>
    <row r="255" spans="1:13" x14ac:dyDescent="0.25">
      <c r="A255" s="45"/>
      <c r="B255" s="31"/>
      <c r="C255" s="31" t="s">
        <v>248</v>
      </c>
      <c r="D255" s="32">
        <v>37</v>
      </c>
      <c r="E255" s="32">
        <f>1000*37</f>
        <v>37000</v>
      </c>
      <c r="F255" s="31">
        <f t="shared" si="13"/>
        <v>7289000</v>
      </c>
      <c r="G255" s="31">
        <v>197</v>
      </c>
      <c r="H255" s="31"/>
      <c r="I255" s="42" t="s">
        <v>116</v>
      </c>
      <c r="J255" s="31"/>
      <c r="K255" s="31"/>
      <c r="L255" s="31"/>
      <c r="M255" s="31"/>
    </row>
    <row r="256" spans="1:13" x14ac:dyDescent="0.25">
      <c r="A256" s="45"/>
      <c r="B256" s="31"/>
      <c r="C256" s="31"/>
      <c r="D256" s="32"/>
      <c r="E256" s="32"/>
      <c r="F256" s="31"/>
      <c r="G256" s="31"/>
      <c r="H256" s="31"/>
      <c r="I256" s="42"/>
      <c r="J256" s="31"/>
      <c r="K256" s="31"/>
      <c r="L256" s="31"/>
      <c r="M256" s="31"/>
    </row>
    <row r="257" spans="1:13" x14ac:dyDescent="0.25">
      <c r="A257" s="45"/>
      <c r="B257" s="46" t="s">
        <v>249</v>
      </c>
      <c r="C257" s="31"/>
      <c r="D257" s="32"/>
      <c r="E257" s="32"/>
      <c r="F257" s="31"/>
      <c r="G257" s="31"/>
      <c r="H257" s="31"/>
      <c r="I257" s="42"/>
      <c r="J257" s="31"/>
      <c r="K257" s="31"/>
      <c r="L257" s="31"/>
      <c r="M257" s="31"/>
    </row>
    <row r="258" spans="1:13" x14ac:dyDescent="0.25">
      <c r="A258" s="45"/>
      <c r="B258" s="31"/>
      <c r="C258" s="59" t="s">
        <v>186</v>
      </c>
      <c r="D258" s="99" t="s">
        <v>250</v>
      </c>
      <c r="E258" s="100"/>
      <c r="F258" s="31"/>
      <c r="G258" s="31"/>
      <c r="H258" s="31"/>
      <c r="I258" s="42" t="s">
        <v>116</v>
      </c>
      <c r="J258" s="31"/>
      <c r="K258" s="31"/>
      <c r="L258" s="31"/>
      <c r="M258" s="31"/>
    </row>
    <row r="259" spans="1:13" x14ac:dyDescent="0.25">
      <c r="A259" s="45"/>
      <c r="B259" s="46" t="s">
        <v>251</v>
      </c>
      <c r="C259" s="31"/>
      <c r="D259" s="32"/>
      <c r="E259" s="32"/>
      <c r="F259" s="31"/>
      <c r="G259" s="31"/>
      <c r="H259" s="31"/>
      <c r="I259" s="42" t="s">
        <v>116</v>
      </c>
      <c r="J259" s="31"/>
      <c r="K259" s="31"/>
      <c r="L259" s="31"/>
      <c r="M259" s="31"/>
    </row>
    <row r="260" spans="1:13" x14ac:dyDescent="0.25">
      <c r="A260" s="45"/>
      <c r="B260" s="31"/>
      <c r="C260" s="31" t="s">
        <v>252</v>
      </c>
      <c r="D260" s="32">
        <v>38</v>
      </c>
      <c r="E260" s="32"/>
      <c r="F260" s="31"/>
      <c r="G260" s="31"/>
      <c r="H260" s="31"/>
      <c r="I260" s="42" t="s">
        <v>116</v>
      </c>
      <c r="J260" s="31"/>
      <c r="K260" s="31"/>
      <c r="L260" s="31"/>
      <c r="M260" s="31"/>
    </row>
    <row r="261" spans="1:13" x14ac:dyDescent="0.25">
      <c r="A261" s="45"/>
      <c r="B261" s="46"/>
      <c r="C261" s="31" t="s">
        <v>253</v>
      </c>
      <c r="D261" s="32">
        <v>38</v>
      </c>
      <c r="E261" s="32"/>
      <c r="F261" s="31"/>
      <c r="G261" s="31"/>
      <c r="H261" s="31"/>
      <c r="I261" s="42" t="s">
        <v>116</v>
      </c>
      <c r="J261" s="31"/>
      <c r="K261" s="31"/>
      <c r="L261" s="31"/>
      <c r="M261" s="31"/>
    </row>
    <row r="262" spans="1:13" x14ac:dyDescent="0.25">
      <c r="A262" s="45"/>
      <c r="B262" s="31"/>
      <c r="C262" s="31" t="s">
        <v>254</v>
      </c>
      <c r="D262" s="32">
        <v>38</v>
      </c>
      <c r="E262" s="32"/>
      <c r="F262" s="31"/>
      <c r="G262" s="31"/>
      <c r="H262" s="31"/>
      <c r="I262" s="42" t="s">
        <v>116</v>
      </c>
      <c r="J262" s="31"/>
      <c r="K262" s="31"/>
      <c r="L262" s="31"/>
      <c r="M262" s="31"/>
    </row>
    <row r="263" spans="1:13" x14ac:dyDescent="0.25">
      <c r="A263" s="45"/>
      <c r="B263" s="31"/>
      <c r="C263" s="31" t="s">
        <v>255</v>
      </c>
      <c r="D263" s="32"/>
      <c r="E263" s="32"/>
      <c r="F263" s="31"/>
      <c r="G263" s="31"/>
      <c r="H263" s="31"/>
      <c r="I263" s="42" t="s">
        <v>116</v>
      </c>
      <c r="J263" s="31"/>
      <c r="K263" s="31"/>
      <c r="L263" s="31"/>
      <c r="M263" s="31"/>
    </row>
    <row r="264" spans="1:13" x14ac:dyDescent="0.25">
      <c r="A264" s="45"/>
      <c r="B264" s="31"/>
      <c r="C264" s="31" t="s">
        <v>256</v>
      </c>
      <c r="D264" s="32"/>
      <c r="E264" s="32"/>
      <c r="F264" s="31"/>
      <c r="G264" s="31"/>
      <c r="H264" s="31"/>
      <c r="I264" s="42" t="s">
        <v>116</v>
      </c>
      <c r="J264" s="31"/>
      <c r="K264" s="31"/>
      <c r="L264" s="31"/>
      <c r="M264" s="31"/>
    </row>
    <row r="265" spans="1:13" x14ac:dyDescent="0.25">
      <c r="A265" s="45"/>
      <c r="B265" s="31"/>
      <c r="C265" s="31"/>
      <c r="D265" s="32"/>
      <c r="E265" s="32"/>
      <c r="F265" s="31"/>
      <c r="G265" s="31"/>
      <c r="H265" s="31"/>
      <c r="I265" s="42" t="s">
        <v>116</v>
      </c>
      <c r="J265" s="31"/>
      <c r="K265" s="31"/>
      <c r="L265" s="31"/>
      <c r="M265" s="31"/>
    </row>
    <row r="266" spans="1:13" x14ac:dyDescent="0.25">
      <c r="A266" s="45"/>
      <c r="B266" s="46" t="s">
        <v>257</v>
      </c>
      <c r="C266" s="31"/>
      <c r="D266" s="32"/>
      <c r="E266" s="32"/>
      <c r="F266" s="31"/>
      <c r="G266" s="31"/>
      <c r="H266" s="31"/>
      <c r="I266" s="42" t="s">
        <v>116</v>
      </c>
      <c r="J266" s="31"/>
      <c r="K266" s="31"/>
      <c r="L266" s="31"/>
      <c r="M266" s="31"/>
    </row>
    <row r="267" spans="1:13" x14ac:dyDescent="0.25">
      <c r="A267" s="45"/>
      <c r="B267" s="31"/>
      <c r="C267" s="31" t="s">
        <v>258</v>
      </c>
      <c r="D267" s="32"/>
      <c r="E267" s="32"/>
      <c r="F267" s="31"/>
      <c r="G267" s="31"/>
      <c r="H267" s="31"/>
      <c r="I267" s="42" t="s">
        <v>116</v>
      </c>
      <c r="J267" s="31"/>
      <c r="K267" s="31"/>
      <c r="L267" s="31"/>
      <c r="M267" s="31"/>
    </row>
    <row r="268" spans="1:13" x14ac:dyDescent="0.25">
      <c r="A268" s="45"/>
      <c r="B268" s="31"/>
      <c r="C268" s="31" t="s">
        <v>259</v>
      </c>
      <c r="D268" s="32"/>
      <c r="E268" s="32"/>
      <c r="F268" s="31"/>
      <c r="G268" s="31"/>
      <c r="H268" s="31"/>
      <c r="I268" s="42" t="s">
        <v>116</v>
      </c>
      <c r="J268" s="31"/>
      <c r="K268" s="31"/>
      <c r="L268" s="31"/>
      <c r="M268" s="31"/>
    </row>
    <row r="269" spans="1:13" x14ac:dyDescent="0.25">
      <c r="A269" s="45"/>
      <c r="B269" s="31"/>
      <c r="C269" s="31" t="s">
        <v>260</v>
      </c>
      <c r="D269" s="32"/>
      <c r="E269" s="32"/>
      <c r="F269" s="31"/>
      <c r="G269" s="31"/>
      <c r="H269" s="31"/>
      <c r="I269" s="31"/>
      <c r="J269" s="31"/>
      <c r="K269" s="31"/>
      <c r="L269" s="31"/>
      <c r="M269" s="31"/>
    </row>
    <row r="270" spans="1:13" x14ac:dyDescent="0.25">
      <c r="A270" s="31"/>
      <c r="B270" s="31"/>
      <c r="C270" s="31"/>
      <c r="D270" s="32"/>
      <c r="E270" s="32"/>
      <c r="F270" s="31"/>
      <c r="G270" s="31"/>
      <c r="H270" s="31"/>
      <c r="I270" s="31"/>
      <c r="J270" s="31"/>
      <c r="K270" s="31"/>
      <c r="L270" s="31"/>
      <c r="M270" s="31"/>
    </row>
    <row r="271" spans="1:13" x14ac:dyDescent="0.25">
      <c r="A271" s="31"/>
      <c r="B271" s="31"/>
      <c r="C271" s="31"/>
      <c r="D271" s="32"/>
      <c r="E271" s="32"/>
      <c r="F271" s="31"/>
      <c r="G271" s="31"/>
      <c r="H271" s="31"/>
      <c r="I271" s="31"/>
      <c r="J271" s="31"/>
      <c r="K271" s="31"/>
      <c r="L271" s="31"/>
      <c r="M271" s="31"/>
    </row>
    <row r="272" spans="1:13" x14ac:dyDescent="0.25">
      <c r="A272" s="31"/>
      <c r="B272" s="31"/>
      <c r="C272" s="31"/>
      <c r="D272" s="32"/>
      <c r="E272" s="32"/>
      <c r="F272" s="31"/>
      <c r="G272" s="31"/>
      <c r="H272" s="31"/>
      <c r="I272" s="31"/>
      <c r="J272" s="31"/>
      <c r="K272" s="31"/>
      <c r="L272" s="31"/>
      <c r="M272" s="31"/>
    </row>
    <row r="273" spans="1:13" x14ac:dyDescent="0.25">
      <c r="A273" s="31"/>
      <c r="B273" s="31"/>
      <c r="C273" s="31"/>
      <c r="D273" s="32"/>
      <c r="E273" s="32"/>
      <c r="F273" s="31"/>
      <c r="G273" s="31"/>
      <c r="H273" s="31"/>
      <c r="I273" s="31"/>
      <c r="J273" s="31"/>
      <c r="K273" s="31"/>
      <c r="L273" s="31"/>
      <c r="M273" s="31"/>
    </row>
    <row r="274" spans="1:13" x14ac:dyDescent="0.25">
      <c r="A274" s="38"/>
      <c r="B274" s="31" t="s">
        <v>261</v>
      </c>
      <c r="C274" s="31"/>
      <c r="D274" s="32"/>
      <c r="E274" s="32"/>
      <c r="F274" s="31"/>
      <c r="G274" s="31"/>
      <c r="H274" s="31"/>
      <c r="I274" s="31"/>
      <c r="J274" s="31"/>
      <c r="K274" s="31"/>
      <c r="L274" s="31"/>
      <c r="M274" s="31"/>
    </row>
    <row r="275" spans="1:13" x14ac:dyDescent="0.25">
      <c r="A275" s="38"/>
      <c r="B275" s="31" t="s">
        <v>262</v>
      </c>
      <c r="C275" s="31"/>
      <c r="D275" s="32"/>
      <c r="E275" s="32"/>
      <c r="F275" s="31"/>
      <c r="G275" s="31"/>
      <c r="H275" s="31"/>
      <c r="I275" s="31"/>
      <c r="J275" s="31"/>
      <c r="K275" s="31"/>
      <c r="L275" s="31"/>
      <c r="M275" s="31"/>
    </row>
    <row r="276" spans="1:13" x14ac:dyDescent="0.25">
      <c r="A276" s="38"/>
      <c r="B276" s="31" t="s">
        <v>263</v>
      </c>
      <c r="C276" s="31"/>
      <c r="D276" s="32"/>
      <c r="E276" s="32"/>
      <c r="F276" s="31"/>
      <c r="G276" s="31"/>
      <c r="H276" s="31"/>
      <c r="I276" s="31"/>
      <c r="J276" s="31"/>
      <c r="K276" s="31"/>
      <c r="L276" s="31"/>
      <c r="M276" s="31"/>
    </row>
    <row r="277" spans="1:13" x14ac:dyDescent="0.25">
      <c r="A277" s="38"/>
      <c r="B277" s="31"/>
      <c r="C277" s="31"/>
      <c r="D277" s="32"/>
      <c r="E277" s="32"/>
      <c r="F277" s="31"/>
      <c r="G277" s="31"/>
      <c r="H277" s="31"/>
      <c r="I277" s="31"/>
      <c r="J277" s="31"/>
      <c r="K277" s="31"/>
      <c r="L277" s="31"/>
      <c r="M277" s="31"/>
    </row>
    <row r="278" spans="1:13" x14ac:dyDescent="0.25">
      <c r="A278" s="47" t="s">
        <v>264</v>
      </c>
      <c r="B278" s="31"/>
      <c r="C278" s="31"/>
      <c r="D278" s="32"/>
      <c r="E278" s="32"/>
      <c r="F278" s="31"/>
      <c r="G278" s="31"/>
      <c r="H278" s="31"/>
      <c r="I278" s="31"/>
      <c r="J278" s="31"/>
      <c r="K278" s="31"/>
      <c r="L278" s="31"/>
      <c r="M278" s="31"/>
    </row>
    <row r="279" spans="1:13" x14ac:dyDescent="0.25">
      <c r="A279" s="38"/>
      <c r="B279" s="31" t="s">
        <v>265</v>
      </c>
      <c r="C279" s="31"/>
      <c r="D279" s="32"/>
      <c r="E279" s="32"/>
      <c r="F279" s="31"/>
      <c r="G279" s="31"/>
      <c r="H279" s="31"/>
      <c r="I279" s="31"/>
      <c r="J279" s="31"/>
      <c r="K279" s="31"/>
      <c r="L279" s="31"/>
      <c r="M279" s="31"/>
    </row>
    <row r="280" spans="1:13" x14ac:dyDescent="0.25">
      <c r="A280" s="38"/>
      <c r="B280" s="31" t="s">
        <v>266</v>
      </c>
      <c r="C280" s="31"/>
      <c r="D280" s="32"/>
      <c r="E280" s="32"/>
      <c r="F280" s="31"/>
      <c r="G280" s="31"/>
      <c r="H280" s="31"/>
      <c r="I280" s="31"/>
      <c r="J280" s="31"/>
      <c r="K280" s="31"/>
      <c r="L280" s="31"/>
      <c r="M280" s="31"/>
    </row>
    <row r="281" spans="1:13" x14ac:dyDescent="0.25">
      <c r="A281" s="38"/>
      <c r="B281" s="31" t="s">
        <v>267</v>
      </c>
      <c r="C281" s="31"/>
      <c r="D281" s="32"/>
      <c r="E281" s="32"/>
      <c r="F281" s="31"/>
      <c r="G281" s="31"/>
      <c r="H281" s="31"/>
      <c r="I281" s="31"/>
      <c r="J281" s="31"/>
      <c r="K281" s="31"/>
      <c r="L281" s="31"/>
      <c r="M281" s="31"/>
    </row>
    <row r="282" spans="1:13" x14ac:dyDescent="0.25">
      <c r="A282" s="38"/>
      <c r="B282" s="31" t="s">
        <v>268</v>
      </c>
      <c r="C282" s="31"/>
      <c r="D282" s="32"/>
      <c r="E282" s="32"/>
      <c r="F282" s="31"/>
      <c r="G282" s="31"/>
      <c r="H282" s="31"/>
      <c r="I282" s="31"/>
      <c r="J282" s="31"/>
      <c r="K282" s="31"/>
      <c r="L282" s="31"/>
      <c r="M282" s="31"/>
    </row>
    <row r="283" spans="1:13" x14ac:dyDescent="0.25">
      <c r="A283" s="38"/>
      <c r="B283" s="31" t="s">
        <v>269</v>
      </c>
      <c r="C283" s="31"/>
      <c r="D283" s="32"/>
      <c r="E283" s="32"/>
      <c r="F283" s="31"/>
      <c r="G283" s="31"/>
      <c r="H283" s="31"/>
      <c r="I283" s="31"/>
      <c r="J283" s="31"/>
      <c r="K283" s="31"/>
      <c r="L283" s="31"/>
      <c r="M283" s="31"/>
    </row>
    <row r="284" spans="1:13" x14ac:dyDescent="0.25">
      <c r="A284" s="31"/>
      <c r="B284" s="31"/>
      <c r="C284" s="31"/>
      <c r="D284" s="32"/>
      <c r="E284" s="32"/>
      <c r="F284" s="31"/>
      <c r="G284" s="31"/>
      <c r="H284" s="31"/>
      <c r="I284" s="31"/>
      <c r="J284" s="31"/>
      <c r="K284" s="31"/>
      <c r="L284" s="31"/>
      <c r="M284" s="31"/>
    </row>
    <row r="285" spans="1:13" x14ac:dyDescent="0.25">
      <c r="A285" s="31"/>
      <c r="B285" s="31"/>
      <c r="C285" s="31"/>
      <c r="D285" s="32"/>
      <c r="E285" s="32"/>
      <c r="F285" s="31"/>
      <c r="G285" s="31"/>
      <c r="H285" s="31"/>
      <c r="I285" s="31"/>
      <c r="J285" s="31"/>
      <c r="K285" s="31"/>
      <c r="L285" s="31"/>
      <c r="M285" s="31"/>
    </row>
    <row r="286" spans="1:13" x14ac:dyDescent="0.25">
      <c r="A286" s="31"/>
      <c r="B286" s="31"/>
      <c r="C286" s="31"/>
      <c r="D286" s="32"/>
      <c r="E286" s="32"/>
      <c r="F286" s="31"/>
      <c r="G286" s="31"/>
      <c r="H286" s="31"/>
      <c r="I286" s="31"/>
      <c r="J286" s="31"/>
      <c r="K286" s="31"/>
      <c r="L286" s="31"/>
      <c r="M286" s="31"/>
    </row>
    <row r="287" spans="1:13" x14ac:dyDescent="0.25">
      <c r="A287" s="70" t="s">
        <v>280</v>
      </c>
      <c r="B287" s="70"/>
    </row>
    <row r="288" spans="1:13" ht="15.75" thickBot="1" x14ac:dyDescent="0.3"/>
    <row r="289" spans="1:16" x14ac:dyDescent="0.25">
      <c r="A289" s="101" t="s">
        <v>273</v>
      </c>
      <c r="B289" s="102"/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3"/>
    </row>
    <row r="290" spans="1:16" x14ac:dyDescent="0.25">
      <c r="A290" s="104"/>
      <c r="B290" s="105"/>
      <c r="C290" s="105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  <c r="P290" s="106"/>
    </row>
    <row r="291" spans="1:16" ht="15.75" thickBot="1" x14ac:dyDescent="0.3">
      <c r="A291" s="107"/>
      <c r="B291" s="108"/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9"/>
    </row>
    <row r="292" spans="1:16" x14ac:dyDescent="0.25">
      <c r="D292" s="15"/>
      <c r="E292" s="15"/>
    </row>
    <row r="293" spans="1:16" x14ac:dyDescent="0.25">
      <c r="D293" s="15"/>
      <c r="E293" s="15"/>
    </row>
    <row r="294" spans="1:16" x14ac:dyDescent="0.25">
      <c r="A294" s="30" t="s">
        <v>199</v>
      </c>
      <c r="D294" s="15"/>
      <c r="E294" s="15"/>
    </row>
    <row r="295" spans="1:16" ht="15.75" thickBot="1" x14ac:dyDescent="0.3">
      <c r="D295" s="15"/>
      <c r="E295" s="15"/>
    </row>
    <row r="296" spans="1:16" x14ac:dyDescent="0.25">
      <c r="A296" s="89" t="s">
        <v>271</v>
      </c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8"/>
    </row>
    <row r="297" spans="1:16" x14ac:dyDescent="0.25">
      <c r="A297" s="79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1"/>
    </row>
    <row r="298" spans="1:16" ht="15.75" thickBot="1" x14ac:dyDescent="0.3">
      <c r="A298" s="82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4"/>
    </row>
    <row r="299" spans="1:16" x14ac:dyDescent="0.25">
      <c r="D299" s="15"/>
      <c r="E299" s="15"/>
    </row>
    <row r="300" spans="1:16" x14ac:dyDescent="0.25">
      <c r="D300" s="15"/>
      <c r="E300" s="15"/>
    </row>
    <row r="301" spans="1:16" x14ac:dyDescent="0.25">
      <c r="D301" s="15"/>
      <c r="E301" s="15"/>
    </row>
    <row r="302" spans="1:16" x14ac:dyDescent="0.25">
      <c r="A302" s="70" t="s">
        <v>272</v>
      </c>
      <c r="B302" s="70"/>
    </row>
    <row r="303" spans="1:16" ht="15.75" thickBot="1" x14ac:dyDescent="0.3"/>
    <row r="304" spans="1:16" x14ac:dyDescent="0.25">
      <c r="A304" s="90" t="s">
        <v>275</v>
      </c>
      <c r="B304" s="91"/>
      <c r="C304" s="91"/>
      <c r="D304" s="91"/>
      <c r="E304" s="91"/>
      <c r="F304" s="91"/>
      <c r="G304" s="91"/>
      <c r="H304" s="91"/>
      <c r="I304" s="91"/>
      <c r="J304" s="91"/>
      <c r="K304" s="91"/>
      <c r="L304" s="91"/>
      <c r="M304" s="91"/>
      <c r="N304" s="91"/>
      <c r="O304" s="91"/>
      <c r="P304" s="92"/>
    </row>
    <row r="305" spans="1:16" x14ac:dyDescent="0.25">
      <c r="A305" s="93"/>
      <c r="B305" s="94"/>
      <c r="C305" s="9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5"/>
    </row>
    <row r="306" spans="1:16" ht="15.75" thickBot="1" x14ac:dyDescent="0.3">
      <c r="A306" s="96"/>
      <c r="B306" s="97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8"/>
    </row>
    <row r="308" spans="1:16" x14ac:dyDescent="0.25">
      <c r="A308" s="30" t="s">
        <v>112</v>
      </c>
    </row>
    <row r="309" spans="1:16" ht="15.75" thickBot="1" x14ac:dyDescent="0.3"/>
    <row r="310" spans="1:16" x14ac:dyDescent="0.25">
      <c r="A310" s="89" t="s">
        <v>274</v>
      </c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8"/>
    </row>
    <row r="311" spans="1:16" x14ac:dyDescent="0.25">
      <c r="A311" s="79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1"/>
    </row>
    <row r="312" spans="1:16" x14ac:dyDescent="0.25">
      <c r="A312" s="79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1"/>
    </row>
    <row r="313" spans="1:16" ht="15.75" thickBot="1" x14ac:dyDescent="0.3">
      <c r="A313" s="82"/>
      <c r="B313" s="83"/>
      <c r="C313" s="83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4"/>
    </row>
    <row r="317" spans="1:16" x14ac:dyDescent="0.25">
      <c r="A317" s="70" t="s">
        <v>276</v>
      </c>
      <c r="B317" s="70"/>
    </row>
    <row r="318" spans="1:16" ht="15.75" thickBot="1" x14ac:dyDescent="0.3"/>
    <row r="319" spans="1:16" x14ac:dyDescent="0.25">
      <c r="A319" s="90" t="s">
        <v>277</v>
      </c>
      <c r="B319" s="91"/>
      <c r="C319" s="91"/>
      <c r="D319" s="91"/>
      <c r="E319" s="91"/>
      <c r="F319" s="91"/>
      <c r="G319" s="91"/>
      <c r="H319" s="91"/>
      <c r="I319" s="91"/>
      <c r="J319" s="91"/>
      <c r="K319" s="91"/>
      <c r="L319" s="91"/>
      <c r="M319" s="91"/>
      <c r="N319" s="91"/>
      <c r="O319" s="91"/>
      <c r="P319" s="92"/>
    </row>
    <row r="320" spans="1:16" x14ac:dyDescent="0.25">
      <c r="A320" s="93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5"/>
    </row>
    <row r="321" spans="1:16" ht="15.75" thickBot="1" x14ac:dyDescent="0.3">
      <c r="A321" s="96"/>
      <c r="B321" s="97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8"/>
    </row>
    <row r="323" spans="1:16" x14ac:dyDescent="0.25">
      <c r="A323" s="30" t="s">
        <v>278</v>
      </c>
    </row>
    <row r="324" spans="1:16" ht="15.75" thickBot="1" x14ac:dyDescent="0.3"/>
    <row r="325" spans="1:16" x14ac:dyDescent="0.25">
      <c r="A325" s="89" t="s">
        <v>281</v>
      </c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8"/>
    </row>
    <row r="326" spans="1:16" ht="15.75" thickBot="1" x14ac:dyDescent="0.3">
      <c r="A326" s="82"/>
      <c r="B326" s="83"/>
      <c r="C326" s="83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4"/>
    </row>
    <row r="330" spans="1:16" x14ac:dyDescent="0.25">
      <c r="E330" s="64" t="s">
        <v>284</v>
      </c>
      <c r="F330" s="65"/>
      <c r="G330" s="66"/>
      <c r="H330" s="7" t="s">
        <v>295</v>
      </c>
      <c r="I330" s="7" t="s">
        <v>293</v>
      </c>
      <c r="J330" s="64" t="s">
        <v>294</v>
      </c>
      <c r="K330" s="66"/>
    </row>
    <row r="331" spans="1:16" x14ac:dyDescent="0.25">
      <c r="A331" s="62" t="s">
        <v>285</v>
      </c>
      <c r="B331" s="63"/>
      <c r="C331" s="63"/>
      <c r="D331" s="63"/>
      <c r="E331" s="60">
        <v>404616082</v>
      </c>
      <c r="F331" s="60">
        <v>33607422</v>
      </c>
      <c r="G331" s="7"/>
      <c r="H331" s="7">
        <v>24.08</v>
      </c>
      <c r="I331" s="61">
        <f>E331/F331</f>
        <v>12.03948586118864</v>
      </c>
      <c r="J331" s="61">
        <f>1-(I331/H331)</f>
        <v>0.5000213512795415</v>
      </c>
      <c r="K331" s="61">
        <f>J331*100</f>
        <v>50.002135127954148</v>
      </c>
    </row>
    <row r="332" spans="1:16" x14ac:dyDescent="0.25">
      <c r="A332" s="62" t="s">
        <v>286</v>
      </c>
      <c r="B332" s="63"/>
      <c r="C332" s="63"/>
      <c r="D332" s="63"/>
      <c r="E332" s="60">
        <v>809232165</v>
      </c>
      <c r="F332" s="60">
        <v>35708991.200000003</v>
      </c>
      <c r="G332" s="7"/>
      <c r="H332" s="7">
        <v>24.08</v>
      </c>
      <c r="I332" s="61">
        <f t="shared" ref="I332:I338" si="14">E332/F332</f>
        <v>22.661860159185903</v>
      </c>
      <c r="J332" s="61">
        <f t="shared" ref="J332:J338" si="15">1-(I332/H332)</f>
        <v>5.8892850532146879E-2</v>
      </c>
      <c r="K332" s="61">
        <f t="shared" ref="K332:K338" si="16">J332*100</f>
        <v>5.8892850532146879</v>
      </c>
    </row>
    <row r="333" spans="1:16" x14ac:dyDescent="0.25">
      <c r="A333" s="62" t="s">
        <v>287</v>
      </c>
      <c r="B333" s="63"/>
      <c r="C333" s="63"/>
      <c r="D333" s="63"/>
      <c r="E333" s="60">
        <v>809232165</v>
      </c>
      <c r="F333" s="60">
        <v>34145353</v>
      </c>
      <c r="G333" s="7"/>
      <c r="H333" s="7">
        <v>24.08</v>
      </c>
      <c r="I333" s="61">
        <f t="shared" si="14"/>
        <v>23.699628028446508</v>
      </c>
      <c r="J333" s="61">
        <f t="shared" si="15"/>
        <v>1.5796178220659929E-2</v>
      </c>
      <c r="K333" s="61">
        <f t="shared" si="16"/>
        <v>1.5796178220659929</v>
      </c>
    </row>
    <row r="334" spans="1:16" x14ac:dyDescent="0.25">
      <c r="A334" s="62" t="s">
        <v>288</v>
      </c>
      <c r="B334" s="63"/>
      <c r="C334" s="63"/>
      <c r="D334" s="63"/>
      <c r="E334" s="60">
        <v>809232165</v>
      </c>
      <c r="F334" s="60">
        <v>35086456.75</v>
      </c>
      <c r="G334" s="7"/>
      <c r="H334" s="7">
        <v>24.08</v>
      </c>
      <c r="I334" s="61">
        <f t="shared" si="14"/>
        <v>23.063946603841664</v>
      </c>
      <c r="J334" s="61">
        <f t="shared" si="15"/>
        <v>4.2194908478336179E-2</v>
      </c>
      <c r="K334" s="61">
        <f t="shared" si="16"/>
        <v>4.2194908478336179</v>
      </c>
    </row>
    <row r="335" spans="1:16" x14ac:dyDescent="0.25">
      <c r="A335" s="62" t="s">
        <v>289</v>
      </c>
      <c r="B335" s="63"/>
      <c r="C335" s="63"/>
      <c r="D335" s="63"/>
      <c r="E335" s="60">
        <v>809232165</v>
      </c>
      <c r="F335" s="60">
        <v>36397826</v>
      </c>
      <c r="G335" s="7"/>
      <c r="H335" s="7">
        <v>24.08</v>
      </c>
      <c r="I335" s="61">
        <f t="shared" si="14"/>
        <v>22.232980755498968</v>
      </c>
      <c r="J335" s="61">
        <f t="shared" si="15"/>
        <v>7.67034569975511E-2</v>
      </c>
      <c r="K335" s="61">
        <f t="shared" si="16"/>
        <v>7.67034569975511</v>
      </c>
    </row>
    <row r="336" spans="1:16" x14ac:dyDescent="0.25">
      <c r="A336" s="62" t="s">
        <v>290</v>
      </c>
      <c r="B336" s="63"/>
      <c r="C336" s="63"/>
      <c r="D336" s="63"/>
      <c r="E336" s="60">
        <v>809232165</v>
      </c>
      <c r="F336" s="60">
        <v>36141888</v>
      </c>
      <c r="G336" s="7"/>
      <c r="H336" s="7">
        <v>24.08</v>
      </c>
      <c r="I336" s="61">
        <f t="shared" si="14"/>
        <v>22.390423128974337</v>
      </c>
      <c r="J336" s="61">
        <f t="shared" si="15"/>
        <v>7.0165152451231783E-2</v>
      </c>
      <c r="K336" s="61">
        <f t="shared" si="16"/>
        <v>7.0165152451231787</v>
      </c>
    </row>
    <row r="337" spans="1:11" x14ac:dyDescent="0.25">
      <c r="A337" s="62" t="s">
        <v>291</v>
      </c>
      <c r="B337" s="63"/>
      <c r="C337" s="63"/>
      <c r="D337" s="63"/>
      <c r="E337" s="60">
        <v>809232165</v>
      </c>
      <c r="F337" s="60">
        <v>67214844</v>
      </c>
      <c r="G337" s="7"/>
      <c r="H337" s="7">
        <v>24.08</v>
      </c>
      <c r="I337" s="61">
        <f t="shared" si="14"/>
        <v>12.039485876066305</v>
      </c>
      <c r="J337" s="61">
        <f t="shared" si="15"/>
        <v>0.50002135066169828</v>
      </c>
      <c r="K337" s="61">
        <f t="shared" si="16"/>
        <v>50.002135066169828</v>
      </c>
    </row>
    <row r="338" spans="1:11" x14ac:dyDescent="0.25">
      <c r="A338" s="62" t="s">
        <v>292</v>
      </c>
      <c r="B338" s="63"/>
      <c r="C338" s="63"/>
      <c r="D338" s="63"/>
      <c r="E338" s="60">
        <v>809232165</v>
      </c>
      <c r="F338" s="60">
        <v>84018555</v>
      </c>
      <c r="G338" s="7"/>
      <c r="H338" s="7">
        <v>24.08</v>
      </c>
      <c r="I338" s="61">
        <f t="shared" si="14"/>
        <v>9.6315887008530439</v>
      </c>
      <c r="J338" s="61">
        <f t="shared" si="15"/>
        <v>0.60001708052935854</v>
      </c>
      <c r="K338" s="61">
        <f t="shared" si="16"/>
        <v>60.001708052935854</v>
      </c>
    </row>
  </sheetData>
  <mergeCells count="29">
    <mergeCell ref="A317:B317"/>
    <mergeCell ref="A319:P321"/>
    <mergeCell ref="A325:P326"/>
    <mergeCell ref="D258:E258"/>
    <mergeCell ref="A287:B287"/>
    <mergeCell ref="A289:P291"/>
    <mergeCell ref="A296:P298"/>
    <mergeCell ref="A302:B302"/>
    <mergeCell ref="A304:P306"/>
    <mergeCell ref="A117:B117"/>
    <mergeCell ref="A119:P121"/>
    <mergeCell ref="G6:K6"/>
    <mergeCell ref="F13:J13"/>
    <mergeCell ref="A310:P313"/>
    <mergeCell ref="A1:O2"/>
    <mergeCell ref="A3:B3"/>
    <mergeCell ref="A58:B58"/>
    <mergeCell ref="C4:N4"/>
    <mergeCell ref="A60:P60"/>
    <mergeCell ref="E330:G330"/>
    <mergeCell ref="J330:K330"/>
    <mergeCell ref="A331:D331"/>
    <mergeCell ref="A332:D332"/>
    <mergeCell ref="A333:D333"/>
    <mergeCell ref="A334:D334"/>
    <mergeCell ref="A335:D335"/>
    <mergeCell ref="A336:D336"/>
    <mergeCell ref="A337:D337"/>
    <mergeCell ref="A338:D338"/>
  </mergeCells>
  <hyperlinks>
    <hyperlink ref="I125" r:id="rId1"/>
    <hyperlink ref="I143" r:id="rId2"/>
    <hyperlink ref="I166" r:id="rId3"/>
    <hyperlink ref="I245" r:id="rId4"/>
    <hyperlink ref="I242" r:id="rId5"/>
    <hyperlink ref="I228" r:id="rId6"/>
    <hyperlink ref="I205" r:id="rId7"/>
    <hyperlink ref="A294" r:id="rId8"/>
    <hyperlink ref="A308" r:id="rId9"/>
    <hyperlink ref="A323" r:id="rId10"/>
  </hyperlinks>
  <pageMargins left="0.7" right="0.7" top="0.75" bottom="0.75" header="0.3" footer="0.3"/>
  <pageSetup orientation="portrait" horizontalDpi="1200" verticalDpi="1200" r:id="rId11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2018-07-09T11:29:10Z</dcterms:created>
  <dcterms:modified xsi:type="dcterms:W3CDTF">2018-07-09T11:29:30Z</dcterms:modified>
</cp:coreProperties>
</file>